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72"/>
  </bookViews>
  <sheets>
    <sheet name="2023年项目建设台账" sheetId="2" r:id="rId1"/>
    <sheet name="Sheet1" sheetId="3" r:id="rId2"/>
  </sheets>
  <definedNames>
    <definedName name="_xlnm._FilterDatabase" localSheetId="0" hidden="1">'2023年项目建设台账'!$A$5:$AC$164</definedName>
    <definedName name="_xlnm.Print_Titles" localSheetId="0">'2023年项目建设台账'!$1:$5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P7" authorId="0">
      <text>
        <r>
          <rPr>
            <b/>
            <sz val="9"/>
            <rFont val="宋体"/>
            <charset val="134"/>
          </rPr>
          <t>Administrator:</t>
        </r>
        <r>
          <rPr>
            <sz val="9"/>
            <rFont val="宋体"/>
            <charset val="134"/>
          </rPr>
          <t xml:space="preserve">
收回结余，重新安排乡村振兴局宛西中药颗粒项目
</t>
        </r>
      </text>
    </comment>
    <comment ref="S88" authorId="0">
      <text>
        <r>
          <rPr>
            <b/>
            <sz val="9"/>
            <rFont val="宋体"/>
            <charset val="134"/>
          </rPr>
          <t>Administrator:</t>
        </r>
        <r>
          <rPr>
            <sz val="9"/>
            <rFont val="宋体"/>
            <charset val="134"/>
          </rPr>
          <t xml:space="preserve">
结余调整，支农业局项目管理费4.5；支木寨林场项目管理费1.16</t>
        </r>
      </text>
    </comment>
    <comment ref="P106" authorId="0">
      <text>
        <r>
          <rPr>
            <b/>
            <sz val="9"/>
            <rFont val="宋体"/>
            <charset val="134"/>
          </rPr>
          <t>Administrator:</t>
        </r>
        <r>
          <rPr>
            <sz val="9"/>
            <rFont val="宋体"/>
            <charset val="134"/>
          </rPr>
          <t xml:space="preserve">
收回结余，重新安排支付乡村振兴局宛西中药颗粒项目</t>
        </r>
      </text>
    </comment>
    <comment ref="P115" authorId="0">
      <text>
        <r>
          <rPr>
            <b/>
            <sz val="9"/>
            <rFont val="宋体"/>
            <charset val="134"/>
          </rPr>
          <t>Administrator:</t>
        </r>
        <r>
          <rPr>
            <sz val="9"/>
            <rFont val="宋体"/>
            <charset val="134"/>
          </rPr>
          <t xml:space="preserve">
收回结余，重新安排支付乡村振兴局宛西中药颗粒项目
</t>
        </r>
      </text>
    </comment>
  </commentList>
</comments>
</file>

<file path=xl/sharedStrings.xml><?xml version="1.0" encoding="utf-8"?>
<sst xmlns="http://schemas.openxmlformats.org/spreadsheetml/2006/main" count="2000" uniqueCount="776">
  <si>
    <t>西峡县2023年度财政衔接推进乡村振兴补助资金项目计划完成公告</t>
  </si>
  <si>
    <t xml:space="preserve">    单位：万元</t>
  </si>
  <si>
    <t>序
号</t>
  </si>
  <si>
    <t>项 目 
名 称</t>
  </si>
  <si>
    <t>建 设
地 点</t>
  </si>
  <si>
    <t>建 设 内 容</t>
  </si>
  <si>
    <t>衔 接 资 金 安 排 数</t>
  </si>
  <si>
    <t>衔 接 资 金 支 出 数</t>
  </si>
  <si>
    <t>衔 接 资 金 结 余 数</t>
  </si>
  <si>
    <t>项目   
类型</t>
  </si>
  <si>
    <t>主管
单位</t>
  </si>
  <si>
    <t>项目
负责人</t>
  </si>
  <si>
    <t>实 施
期 限</t>
  </si>
  <si>
    <t>施工企业及负责人</t>
  </si>
  <si>
    <t>项目批复文号</t>
  </si>
  <si>
    <t>资 金 文 件</t>
  </si>
  <si>
    <t>绩 效 目 标</t>
  </si>
  <si>
    <t>联农带农机制</t>
  </si>
  <si>
    <t>资 金 
文 号</t>
  </si>
  <si>
    <t>资 金 文 
件 名 称</t>
  </si>
  <si>
    <t>合计</t>
  </si>
  <si>
    <t>中央</t>
  </si>
  <si>
    <t>省</t>
  </si>
  <si>
    <t>市</t>
  </si>
  <si>
    <t>县</t>
  </si>
  <si>
    <t>2023年西峡县低收入家庭户产业奖补</t>
  </si>
  <si>
    <t>全县16个乡镇</t>
  </si>
  <si>
    <t>按照《西峡县2023年巩固拓展“双业”发展实施意见》，乡村振兴局对脱贫户、监测户发展家庭种养殖等产业进行奖补，奖补标准依照实施意见执行。</t>
  </si>
  <si>
    <t>产业发展</t>
  </si>
  <si>
    <t>乡村振兴局</t>
  </si>
  <si>
    <t>刘品</t>
  </si>
  <si>
    <t>2023年1-2023年10月</t>
  </si>
  <si>
    <t>西衔接组（2023）13.15.19.24.32.50号</t>
  </si>
  <si>
    <t>豫财农综（2022）29号（中央）</t>
  </si>
  <si>
    <t>关于提前下达2023年财政衔接推进乡村振兴补助资金（巩固脱贫攻坚成果与乡村振兴任务）的通知</t>
  </si>
  <si>
    <t>通过发展产业带动全县低收入户发展产业增加收入，人均年收入增收3300元以上，群众对项目实施效果非常满意</t>
  </si>
  <si>
    <t>实施后带动低收入户发展产业，人均受益最低增加2500元，通过项目实施，一是可以鼓励低收入群众自主发展产业，增加低收入群众产业发展积极性；二是减少生产经营性支出，为低收入群众发展和扩大产业规模提供资金支持，增加低收入群众产业收入</t>
  </si>
  <si>
    <t>西峡县仲景食品股份有限公司年产1万吨香菇蚝油生产线建设项目</t>
  </si>
  <si>
    <t>仲景食品股份有限公司</t>
  </si>
  <si>
    <t>主要包括购置粉碎机、乙醇提取系统、提取与浓缩罐、香菇蚝油与调味油生产线、高效液相色谱仪、托盘等设备及车间净化、中央空调、钢构大棚、工业提升门等配套附属设施、建成集香菇精深加工一体的年产1万吨香菇蚝油生产线</t>
  </si>
  <si>
    <t>2023.6.6--2023.9.30</t>
  </si>
  <si>
    <t>西衔接组（2023）22号</t>
  </si>
  <si>
    <t>该项目的建成，一方面满足现有及新增市场需求，提高公司在调味品领域的市场竞争力，通过技术改革和产品创新为公司增收创利，实现项目可持续发展，另一方面，可推动公司科技成果的转化，有效推进公司对香菇深加工行业的创新发展，必将起到良好的示范带动作用，具有良好的经济和社会效益。</t>
  </si>
  <si>
    <t>该项目充分利用西峡香菇资源优势，2022年收购干香菇3000吨，带动农户6000余户从事香菇种植加工，带动农户户均增收4100元/年，同时公司对周边地区近万户农民提供技术培训、信息等服务，进行标准化宣贯，直接带动农民变成懂技术、会管理的新型农民，同时培养带动了多个专业合作社，有力推动地方农业结构调整，加大产业链条，经济效益、社会效益十分显著。</t>
  </si>
  <si>
    <t>2022年秋季雨露计划补助项目</t>
  </si>
  <si>
    <t>经县乡村振兴局学籍比对并在“全国防返贫监测信息系统”中进行标注，正在就读中、高等职业院校且已注册普通全日制正式学籍的本省脱贫家庭子女,在校就读期间(包括顶岗实习)，每生每学年补助3000元，分春、秋两期发放。</t>
  </si>
  <si>
    <t>就业创业</t>
  </si>
  <si>
    <t>2022年9-2023年3月</t>
  </si>
  <si>
    <t>西衔接组（2023）7号</t>
  </si>
  <si>
    <t>解决各阶段教育建档立卡贫困家庭学生的上学后顾之忧，提高贫困学生的学习，生活质量，群众对项目实施效果非常满意</t>
  </si>
  <si>
    <t>通过项目实施，对350名脱贫户、监测户中的中、高职学生每人每学期补贴1500元，切实减轻脱贫户、监测户家庭因学开支负担，为脱贫户、监测户家庭学生完成职业教育提供保障，进而改善贫困代际传递，实现转移就业，增加家庭收入。</t>
  </si>
  <si>
    <t>回车镇东沟村2023年脱贫村集体经济项目</t>
  </si>
  <si>
    <t>回车镇东沟村</t>
  </si>
  <si>
    <t>在双河村电商服务中心建设一条高性能双通道分选线,果蔬Z型滚筒输送机1台，输送果子漏果叶和泥沙，尺寸内宽≥0.6m，机架使用Q235碳钢150*50m型材，厚度≥4.0mm，边板及链条盖板使用SUS304不锈钢折弯成型，厚度≥1.0mm，特制滚筒端盖，主驱动电机1台，D50mm铝合金管+海绵管+1组缓冲毛刷，特制碳钢链条2条；果蔬脱毛机1套，果蔬长短皮带机1套等配套设施</t>
  </si>
  <si>
    <t>农业农村局</t>
  </si>
  <si>
    <t>贾淑华</t>
  </si>
  <si>
    <t>2023年6月28日－2023年7月20日</t>
  </si>
  <si>
    <t>绿萌科技股份有限公司    洪开欣</t>
  </si>
  <si>
    <t>西衔接组（2023）17号</t>
  </si>
  <si>
    <t>增加农户收入，村集体收入用于村基础设施改善和带动低收入户脱贫致富，可吸收农村剩余劳动力在本地就业，群众对项目实施效果非常满意</t>
  </si>
  <si>
    <t>扩大充实集体经济，通过差异化分红，有助于提升村容户貌，有助于鼓励学生学业有成，有助于增加集体凝聚力，有助于乡村振兴</t>
  </si>
  <si>
    <t>桑坪镇三湾村2023年脱贫村集体经济项目</t>
  </si>
  <si>
    <t>桑坪镇三湾村</t>
  </si>
  <si>
    <t>在南阳泓科农业科技有限公司新购设备生产线若干，破捆预处理系统1台，提绒机2套，足浴包机2套，卷条机16台，抓草机1台等</t>
  </si>
  <si>
    <t>2023年7月16日－2023年6月16日</t>
  </si>
  <si>
    <t>西峡县兆丰猕猴桃有限公司鲁世中</t>
  </si>
  <si>
    <t>扩大充实村集体经济，通过差异化分配， 带动低收入户脱贫致富，增加农户收入，可吸收农村剩余劳动力在本地就业，群众对项目实施效果非常满意</t>
  </si>
  <si>
    <t>扩大充实集体经济，通过差异化分配，有助于提升村容户貌，有助于鼓励学生学业有成,有助于解决突出返贫问题，有助于增加集体凝聚力，有助于乡村振兴</t>
  </si>
  <si>
    <t>五里桥镇吴家沟村2023年脱贫村集体经济项目</t>
  </si>
  <si>
    <t>五里桥镇吴家沟村</t>
  </si>
  <si>
    <t>250块500瓦A级单晶光伏板、1台逆变器、101根41*41（6米/根）热镀锌u型钢、212根52*41（6米/根）热镀锌u型钢、3台三相并网箱、21套MP4接头、600米4平方直流线缆、89米交流铝线缆等，新建125KW光伏电站</t>
  </si>
  <si>
    <t>2023年5月15日－2023年6月30日</t>
  </si>
  <si>
    <t>南阳瑞阳新能源发展有限责任公司  王会亚</t>
  </si>
  <si>
    <t>重阳镇三坪村2023年脱贫村集体经济项目</t>
  </si>
  <si>
    <t>重阳镇三坪村</t>
  </si>
  <si>
    <t>2023年5月22日--2023年6月30日</t>
  </si>
  <si>
    <t>南阳瑞阳新能源发展有限责任公司     王会亚</t>
  </si>
  <si>
    <t>重阳镇上街村2023年脱贫村集体经济项目</t>
  </si>
  <si>
    <t>重阳镇上街村</t>
  </si>
  <si>
    <t>2023年5月16日－2023年6月25日</t>
  </si>
  <si>
    <t>西峡县宏旺新能源有限公司汪清洁</t>
  </si>
  <si>
    <t>西坪镇皇后村2023年脱贫村集体经济项目</t>
  </si>
  <si>
    <t>西坪镇皇后村</t>
  </si>
  <si>
    <t>桑坪镇石灰岭村2023年脱贫村集体经济项目</t>
  </si>
  <si>
    <t>桑坪镇石灰岭村</t>
  </si>
  <si>
    <t>豫财农综（2022）29号（中央）
豫财农综（2022）35号（省级）</t>
  </si>
  <si>
    <t>关于提前下达2023年财政衔接推进乡村振兴补助资金（巩固脱贫攻坚成果与乡村振兴任务）的通知
关于提前下达2023年财政衔接推进乡村振兴补助资金（巩固脱贫攻坚成果与乡村振兴任务）的通知</t>
  </si>
  <si>
    <t>丹水镇黄营村农村村组道路建设项目</t>
  </si>
  <si>
    <t>丹水镇黄营村</t>
  </si>
  <si>
    <t>长0.7公里*宽3.5M</t>
  </si>
  <si>
    <t>乡村建设行动</t>
  </si>
  <si>
    <t>交通局</t>
  </si>
  <si>
    <t>周清华</t>
  </si>
  <si>
    <t>2023.4-2023.7</t>
  </si>
  <si>
    <t>西峡县金林建筑工程有限公司 夏红飞</t>
  </si>
  <si>
    <t>努力改善农村生产生活条件和人居住环境，逐步建立健全农村环境整治长效机制，提高农村居民出行质量，增强对外文化信息交流</t>
  </si>
  <si>
    <t>通过改善交通条件，打通外界信息文化通道，促进巩固脱贫攻坚与乡村振兴有效衔接，方便群众生产生活</t>
  </si>
  <si>
    <t>重阳镇高台至燕子村农村村组道路建设项目</t>
  </si>
  <si>
    <t>重阳镇高台至燕子村</t>
  </si>
  <si>
    <t>长1公里*宽3.5M</t>
  </si>
  <si>
    <t>重阳镇雪沟村农村村组道路建设项目</t>
  </si>
  <si>
    <t>重阳镇雪沟村</t>
  </si>
  <si>
    <t>长1.7公里*宽3.5M</t>
  </si>
  <si>
    <t>寨根乡捷道沟村农村村组道路建设项目</t>
  </si>
  <si>
    <t>寨根乡捷道沟村</t>
  </si>
  <si>
    <t>长2公里*宽4.5M</t>
  </si>
  <si>
    <t>丁河镇东岗村农村村组道路建设项目</t>
  </si>
  <si>
    <t>丁河镇东岗村</t>
  </si>
  <si>
    <t>长0.39公里*宽4.5M</t>
  </si>
  <si>
    <t>人人持证、技能河南技能培训项目</t>
  </si>
  <si>
    <t>结合各乡镇发展实际，以脱贫人口为培训主体，开展家政服务员（母婴护理、家庭照护、家务服务）、农作物植保员、电子商务师等技能培训并取得职业技能等级证书，切实提升脱贫人口自我发展能力。</t>
  </si>
  <si>
    <t>2023.6-10</t>
  </si>
  <si>
    <t>西衔接组（2023）6号</t>
  </si>
  <si>
    <t>为认真贯彻落实西峡县“人人持证、技能河南”建设工作领导小组办公室印发的《2023年高质量推进“人人持证、技能河南”建设工作方案》，提升贫困劳动力素质，促进乡村振兴技能培训，实现持证就业增收，助力巩固拓展脱贫攻坚成果同乡村振兴有效衔接，推动实现共同富裕。</t>
  </si>
  <si>
    <t>结合“人人持证、技能河南”政策落实，全年计划培训700人，目前完成710人，其中，高级技能人才63人，四有人才5人，中级技能人才299人、初级（专项）技能人才343人，目前，已完成1960人次培训，并全部实现就业。</t>
  </si>
  <si>
    <t>丹水镇朝阳村同心农游一体观光采摘园项目</t>
  </si>
  <si>
    <t>丹水镇朝阳村</t>
  </si>
  <si>
    <t>通过龙头公司+专业合作社+基地+农户建设一个面积220亩的休闲观光柿子采摘园。修建硬化观光环线及生产道路、停车场；配套抗旱灌溉用供水、管线设施等</t>
  </si>
  <si>
    <t>民宗局</t>
  </si>
  <si>
    <t>谢永胜</t>
  </si>
  <si>
    <t>2023.8.14—2023.9.20</t>
  </si>
  <si>
    <t>河南方丘建筑工程有限公司</t>
  </si>
  <si>
    <t>西衔接组（2023）34号</t>
  </si>
  <si>
    <t>豫财农综（2022）31号（中央）
豫财农综（2023）9号
（省）</t>
  </si>
  <si>
    <t>关于提前下达2023年财政衔接推进乡村振兴补助资金（少数民族发展任务）的通知
关于下达2023年中央和省级财政衔接推进乡村振兴补助资金（少数民族发展任务）预算的通知</t>
  </si>
  <si>
    <t>易地搬迁公益岗项目</t>
  </si>
  <si>
    <t>对易地扶贫搬迁集中安置区聘用搬迁群众的公共服务岗位和“一站式”社区综合服务设施建设等费用予以适当补助。为鼓励易地扶贫搬迁群众就业增收，更好巩固脱贫攻坚成果。经研究，决定对全县14个乡镇易地扶贫搬迁安置点环境卫生保洁、安全管理等公共服务岗位设置49个公益岗，按照每人每月不超过500元标准，按季度给予补助。</t>
  </si>
  <si>
    <t>2023.1--12</t>
  </si>
  <si>
    <t>西衔接组（2023）12、31、47号</t>
  </si>
  <si>
    <t>豫财农综（2022）35号（省级）</t>
  </si>
  <si>
    <t>通过项目实施，带动全县易地搬迁实现就业，提升就业家庭收入水平，最低每户年增加收入5000元，使脱贫群众对项目实施效果非常满意</t>
  </si>
  <si>
    <t>通过公益岗位项目实施，带动易地搬迁脱贫劳动力（就业增加收入，改善生活条件，提升防返贫、致贫能力。</t>
  </si>
  <si>
    <t>米坪镇子母村2023年脱贫村集体经济项目</t>
  </si>
  <si>
    <t>米坪镇子母村</t>
  </si>
  <si>
    <t>2023年5月17日--2023年5月31日</t>
  </si>
  <si>
    <t>米坪镇秧田村2023年脱贫村集体经济项目</t>
  </si>
  <si>
    <t>米坪镇秧田村</t>
  </si>
  <si>
    <t>军马河镇长探河村2023年脱贫村集体经济项目</t>
  </si>
  <si>
    <t>军马河镇长探河村</t>
  </si>
  <si>
    <t>军马河镇孙门村2023年脱贫村集体经济项目</t>
  </si>
  <si>
    <t>军马河镇孙门村</t>
  </si>
  <si>
    <t>2023年5月22日－2023年6月30日</t>
  </si>
  <si>
    <t>丁河镇北峪沟村2023年脱贫村集体经济项目</t>
  </si>
  <si>
    <t>丁河镇北峪沟村</t>
  </si>
  <si>
    <t>2023年6月16日－2023年7月15日</t>
  </si>
  <si>
    <t>南阳利阳新能源科技开发有限公司   王会亚</t>
  </si>
  <si>
    <t>丁河镇简村2023年脱贫村集体经济项目</t>
  </si>
  <si>
    <t>丁河镇简村</t>
  </si>
  <si>
    <t>2023年6月25日－2023年7月15日</t>
  </si>
  <si>
    <t>南阳利阳新能源科技开发有限公司     王会亚</t>
  </si>
  <si>
    <t>桑坪镇横岭村农村村组道路建设项目</t>
  </si>
  <si>
    <t>桑坪镇横岭村</t>
  </si>
  <si>
    <t>1.8公里*4M</t>
  </si>
  <si>
    <t>豫财农综（2022）35号（省级）
宛财预（2023）255号</t>
  </si>
  <si>
    <t>关于提前下达2023年财政衔接推进乡村振兴补助资金（巩固脱贫攻坚成果与乡村振兴任务）的通知
关于下达2023年市级财政衔接推进乡村振兴补助资金（以工代赈任务）的通知</t>
  </si>
  <si>
    <t>五里桥镇走马岗村中药材基地用水配套设施项目</t>
  </si>
  <si>
    <t>五里桥镇走马岗村</t>
  </si>
  <si>
    <t>建设蓄水坝6座、水塘4座、蓄水池1座、泵站1座、管道2000余米等</t>
  </si>
  <si>
    <t>药办</t>
  </si>
  <si>
    <t>吴长银</t>
  </si>
  <si>
    <t>2023.5-2023.7</t>
  </si>
  <si>
    <t>西峡县城锦公路工程有限公司      薛文中</t>
  </si>
  <si>
    <t>西财预（2023）71号</t>
  </si>
  <si>
    <t>关于下达2023年县级财政第一批衔接推进乡村振兴补助资金变更的通知</t>
  </si>
  <si>
    <t>方便药农生产生活及采收，吸引游客观光休闲度假。村集体收入用于全村基础设施改善和带动低收入户脱贫致富，可吸收农村剩余劳动力在本地就业，群众对项目实施效果非常满意</t>
  </si>
  <si>
    <t>通过修建水利配套设施，提高基地内种植效益，带动周边群众务工、土地流转。</t>
  </si>
  <si>
    <t>阳城镇牛王村中药材基地用水配套设施项目</t>
  </si>
  <si>
    <t>阳城镇牛王村</t>
  </si>
  <si>
    <t>建设水井深15米内、电网（电杆24根、横担组装24组、导线5000余米、控制箱4个）、潜水泵5台、喷带2万余米、管护房、给水管2万余米、水箱2台等</t>
  </si>
  <si>
    <t>2023.5-2023.6</t>
  </si>
  <si>
    <t>河南双楼建筑工程有限公司西峡分公司      薛灵华</t>
  </si>
  <si>
    <t>带动周边群众务工30余人、土地流转；增加村集体收益。</t>
  </si>
  <si>
    <t>太平镇唐寺沟村中药材基地用水配套设施项目</t>
  </si>
  <si>
    <t>太平镇唐寺沟村</t>
  </si>
  <si>
    <r>
      <rPr>
        <sz val="11"/>
        <rFont val="楷体_GB2312"/>
        <charset val="134"/>
      </rPr>
      <t>建设深水井1口深200余米、蓄水池2座、管道2000余米、管护房2个共45</t>
    </r>
    <r>
      <rPr>
        <sz val="11"/>
        <rFont val="宋体"/>
        <charset val="134"/>
      </rPr>
      <t>㎡</t>
    </r>
    <r>
      <rPr>
        <sz val="11"/>
        <rFont val="楷体_GB2312"/>
        <charset val="134"/>
      </rPr>
      <t>、动力电设施等</t>
    </r>
  </si>
  <si>
    <t>河南行稳建筑工程有限公司  马海燕</t>
  </si>
  <si>
    <t>带动周边群众务工15余人、土地流转；增加村集体收益。</t>
  </si>
  <si>
    <t>双龙镇化山村中药材基地用水配套设施项目</t>
  </si>
  <si>
    <t>双龙镇化山村</t>
  </si>
  <si>
    <r>
      <rPr>
        <sz val="11"/>
        <rFont val="楷体_GB2312"/>
        <charset val="134"/>
      </rPr>
      <t>水源井修复1口深8米、配电设备（配电设施1套、电缆200余米、水泵2个），建设蓄水池1座、管理房60</t>
    </r>
    <r>
      <rPr>
        <sz val="11"/>
        <rFont val="宋体"/>
        <charset val="134"/>
      </rPr>
      <t>㎡</t>
    </r>
    <r>
      <rPr>
        <sz val="11"/>
        <rFont val="楷体_GB2312"/>
        <charset val="134"/>
      </rPr>
      <t>、灌溉管道7000余米等</t>
    </r>
  </si>
  <si>
    <t>西峡县民兴钢结构有限公  贾小华</t>
  </si>
  <si>
    <t>调整农业种植结构，带动周边劳动力务工、土地流转、增加村集体收益。</t>
  </si>
  <si>
    <t>丹水镇猕猴桃基地断带补齐项目</t>
  </si>
  <si>
    <t>丹水镇 马边村 廖坟村 七峪村 青龙庙村</t>
  </si>
  <si>
    <t>涉及87亩猕猴桃基地，3915根水泥杆（中间杆）购安（杆高：2.5米、地上净高2.0米），11658m棚架钢绞线购安（φ20钢绞线、含花兰螺丝、钢丝卡）,696套花兰螺丝购安（含卡扣），156600m8号钢丝购安（含喷带拉丝）,14790mφ32喷带购安（含挂钩）等</t>
  </si>
  <si>
    <t>桃办</t>
  </si>
  <si>
    <t>李勇</t>
  </si>
  <si>
    <t>2023-5-10至2023-7-10</t>
  </si>
  <si>
    <t>西峡众赢林果种植有限公司，辛国文</t>
  </si>
  <si>
    <t>带动丹书镇4个组，包含7户脱贫户在内的21户群众收益，增加群众种植业收入，预计第四年挂果后每亩年均纯收益约3000元</t>
  </si>
  <si>
    <t>通过土地流转、技术培训，劳动务工增加农民收入，有助于增加集体凝聚力，有助于乡村振兴</t>
  </si>
  <si>
    <t>田关镇曹沟村猕猴桃基地断带补齐项目</t>
  </si>
  <si>
    <t>田关镇曹沟村</t>
  </si>
  <si>
    <t>涉及10亩猕猴桃基地，450根水泥杆（中间杆）购安（杆高：2.5米、地上净高2.0米），1340m棚架钢绞线购安（φ20钢绞线、含花兰螺丝、钢丝卡）,80套花兰螺丝购安（含卡扣），18000m8号钢丝购安（含喷带拉丝）,1700mφ32喷带购安（含挂钩）等</t>
  </si>
  <si>
    <t>带动曹沟村1个组，包含5户脱贫户在内的25户群众收益，增加群众种植业收入，预计第四年挂果后每亩年均纯收益约3000元</t>
  </si>
  <si>
    <t>阳城镇后营村猕猴桃基地断带补齐项目</t>
  </si>
  <si>
    <t>阳城镇后营村</t>
  </si>
  <si>
    <t>涉及20亩猕猴桃基地，900根水泥杆（中间杆）购安（杆高：2.5米、地上净高2.0米），2680m棚架钢绞线购安（φ20钢绞线、含花兰螺丝、钢丝卡）,160套花兰螺丝购安（含卡扣），36000m8号钢丝购安（含喷带拉丝）,3400mφ32喷带购安（含挂钩）等</t>
  </si>
  <si>
    <t>2023-5-11至2023-6-20</t>
  </si>
  <si>
    <t>南阳昌明工程管理有限公司；钟栓华</t>
  </si>
  <si>
    <t>带动后营村2个组，包含5户脱贫户在内的26户群众收益，增加群众种植业收入，预计第四年挂果后每亩年均纯收益约5000元</t>
  </si>
  <si>
    <t>回车镇猕猴桃基地断带补齐项目</t>
  </si>
  <si>
    <t>回车镇回车堂村双河村</t>
  </si>
  <si>
    <t>涉及200亩猕猴桃基地，9000根水泥杆（中间杆）购安（杆高：2.5米、地上净高2.0米），26800m棚架钢绞线购安（φ20钢绞线、含花兰螺丝、钢丝卡）,1600套花兰螺丝购安（含卡扣），360000m8号钢丝购安（含喷带拉丝）,34000mφ32喷带购安（含挂钩）等</t>
  </si>
  <si>
    <t>2023.7-2023.9</t>
  </si>
  <si>
    <t xml:space="preserve">南阳市原果农业科技有限公司 朱诗梦 18530681991  </t>
  </si>
  <si>
    <t>带动回车堂村双河村12户脱贫户150户群众受益，增加群众种植业收入，预计第四年挂果后每亩年均纯收益约5000元</t>
  </si>
  <si>
    <t>实施后带动脱贫户发展种植业，通过项目实施，一是可以鼓励低收入群众自主发展产业，增加低收入群众产业发展积极性；二是减少生产经营性支出，为低收入群众发展和扩大产业规模提供资金支持，增加低收入群众产业收入</t>
  </si>
  <si>
    <t>五里桥镇猕猴桃基地断带补齐项目</t>
  </si>
  <si>
    <t>五里桥镇前营村 黄狮村</t>
  </si>
  <si>
    <t>涉及284亩猕猴桃基地，12780根水泥杆（中间杆）购安（杆高：2.5米、地上净高2.0米），38056m棚架钢绞线购安（φ20钢绞线、含花兰螺丝、钢丝卡）,2272套花兰螺丝购安（含卡扣），511200m8号钢丝购安（含喷带拉丝）,48280mφ32喷带购安（含挂钩）等</t>
  </si>
  <si>
    <t>2023.5.17—2023.7.17</t>
  </si>
  <si>
    <t>西峡县强盛生态建设有限公司     梁志伟    13838787773</t>
  </si>
  <si>
    <t>带动前营、黄狮两村包含李营等5个组，共约15户脱贫户等200余户群众受益，增加群众种植业收入，预计第四年挂果后每亩年均纯收益约5000元</t>
  </si>
  <si>
    <t>通过断带补齐，促进猕猴桃基地硬件水平提升，补种猕猴桃苗，提升猕猴桃种植防风险能力，改善种植灌溉条件，提升亩产收益，促进群众增收</t>
  </si>
  <si>
    <t>丁河镇猕猴桃基地断带补齐项目</t>
  </si>
  <si>
    <t>丁河镇奎文村简村宣沟村木寨村丁河村茶峪村</t>
  </si>
  <si>
    <t>涉及334亩猕猴桃基地，15030根水泥杆（中间杆）购安（杆高：2.5米、地上净高2.0米），44756m棚架钢绞线购安（φ20钢绞线、含花兰螺丝、钢丝卡）,2672套花兰螺丝购安（含卡扣），601200m8号钢丝购安（含喷带拉丝）,56780mφ32喷带购安（含挂钩）等</t>
  </si>
  <si>
    <t>超伟红农业发展有限责任公司
庞进超</t>
  </si>
  <si>
    <t>带动奎文村、简村、宣沟村、木寨村、丁河村、茶峪村6个村18户脱贫户170余户群众受益，增加群众种植业收入，同时可吸收农村剩余劳动力在本地就业。预计第四年挂果后每亩年均纯收益约5000元</t>
  </si>
  <si>
    <t>重阳镇猕猴桃基地断带补齐项目</t>
  </si>
  <si>
    <t>重阳镇奎岭村  白龙村 重阳村 芦沟村</t>
  </si>
  <si>
    <t>涉及120亩猕猴桃基地，5400根水泥杆（中间杆）购安（杆高：2.5米、地上净高2.0米），16080m棚架钢绞线购安（φ20钢绞线、含花兰螺丝、钢丝卡）,960套花兰螺丝购安（含卡扣），216000m8号钢丝购安（含喷带拉丝）,20400mφ32喷带购安（含挂钩）等</t>
  </si>
  <si>
    <t>5.25 --7.25</t>
  </si>
  <si>
    <t>王建洋</t>
  </si>
  <si>
    <t>120亩断带补齐后，完善基地基础设施，使基地得到全面改造升级，通过科学生产管理，使项目引领带动全镇断带地块加快猕猴桃基地发展。广大群众对项目实施效果非常满意。</t>
  </si>
  <si>
    <t>重阳镇猕猴桃补齐断带项目实施后，增加21户3年后年收入48万元，并带动4个村400余户猕猴桃种植户增收3000元，带动脱贫户50余户务工增加收益。</t>
  </si>
  <si>
    <t>回车镇屈原岗村猕猴桃产业水利配套设施建设项目</t>
  </si>
  <si>
    <t>回车镇屈原岗村</t>
  </si>
  <si>
    <t>拦河坝总长10米，加高1米</t>
  </si>
  <si>
    <t>西峡县真远建筑工程有限公司 曹明岐 13937755587</t>
  </si>
  <si>
    <t>西衔接组（2023）18号</t>
  </si>
  <si>
    <t>降低屈原岗村45户群众猕猴桃基地灌溉成本，增加低收入群体和种植大户收入，可吸收农村剩余劳动力在本地就业，群众对项目实施效果非常满意</t>
  </si>
  <si>
    <t>回车镇回车堂村猕猴桃产业水利配套设施建设项目</t>
  </si>
  <si>
    <t>回车镇回车堂村</t>
  </si>
  <si>
    <t>新建大口井1眼直径3米，深10米及水利配套工程</t>
  </si>
  <si>
    <t>降低回车堂村40户群众猕猴桃基地灌溉成本，增加低收入群体和种植大户收入，可吸收农村剩余劳动力在本地就业，群众对项目实施效果非常满意</t>
  </si>
  <si>
    <t>回车镇黑虎庙村猕猴桃产业水利配套设施建设项目</t>
  </si>
  <si>
    <t>回车镇黑虎庙村</t>
  </si>
  <si>
    <t>新建大口井1眼，直径3米，深10米</t>
  </si>
  <si>
    <t>降低黑虎庙村20户群众猕猴桃基地灌溉成本，增加低收入群体和种植大户收入，可吸收农村剩余劳动力在本地就业，群众对项目实施效果非常满意</t>
  </si>
  <si>
    <t>回车镇西沟村猕猴桃产业水利配套设施建设项目</t>
  </si>
  <si>
    <t>回车镇西沟村</t>
  </si>
  <si>
    <t>新修猕猴桃基地提灌站一处</t>
  </si>
  <si>
    <t>降低西沟村35户群众猕猴桃基地灌溉成本，增加低收入群体和种植大户收入，可吸收农村剩余劳动力在本地就业，群众对项目实施效果非常满意</t>
  </si>
  <si>
    <t>五里桥镇黄狮村猕猴桃产业水利配套设施建设项目</t>
  </si>
  <si>
    <t>五里桥镇黄狮村</t>
  </si>
  <si>
    <t>新建提灌站1处及水利配套设施
华山渠全线5500米清淤及维修，新修300米渠道</t>
  </si>
  <si>
    <t>2023.5.18—2023.7.18</t>
  </si>
  <si>
    <t>西峡县水源地园林绿化工程有限责任公司     金小童   17839559866</t>
  </si>
  <si>
    <t>带动周边9户脱贫户及监测户及50余户群众增加猕猴桃种植收入</t>
  </si>
  <si>
    <t>通过修建水利配套设施，提高基地内种植效益，更好促进村内脱贫户、监测对象等困难群众在基地内务工，带动群众增收</t>
  </si>
  <si>
    <t>回车镇东沟村猕猴桃产业水利配套设施建设项目</t>
  </si>
  <si>
    <t>新修拦河坝一处，长14.4米，高2米</t>
  </si>
  <si>
    <t>降低东沟村30户群众猕猴桃基地灌溉成本，增加低收入群体和种植大户收入，可吸收农村剩余劳动力在本地就业，群众对项目实施效果非常满意</t>
  </si>
  <si>
    <t>重阳镇鱼池村猕猴桃产业水利配套设施建设项目</t>
  </si>
  <si>
    <t>重阳镇鱼池村</t>
  </si>
  <si>
    <t>5.18--7.18</t>
  </si>
  <si>
    <t>大口井建成后，使基地管理用水紧张从根本上得到改善，减少因干旱造成的损失，改善果实品质，提高果实商品率5%，每亩效益增收3000元，并带动相邻两个组36户种植户人均可增加收入2000元。</t>
  </si>
  <si>
    <t>大口井建成后，积极学习掌握成熟技术，服务乡邻，通过就业务工，新技术带动两个组36户种植户收益，带动5户脱贫户务工增加收益。</t>
  </si>
  <si>
    <t>重阳镇重阳村猕猴桃产业水利配套设施建设项目</t>
  </si>
  <si>
    <t>重阳镇重阳村</t>
  </si>
  <si>
    <t>新建提灌站1处及水利配套设施</t>
  </si>
  <si>
    <t>重阳村11组猕猴桃基地水利提灌站建成后，使基地管理用水紧张从根本上得到改善，减少因干旱造成的损失，群众非常满意。</t>
  </si>
  <si>
    <t>自用灌溉后，并服务该组200亩猕猴桃基地，带动全组20余家种植户人均可增加收入2000元。带动该组4户脱贫户务工增加收益。</t>
  </si>
  <si>
    <t>重阳镇白龙村猕猴桃产业水利配套设施建设项目</t>
  </si>
  <si>
    <t>重阳镇白龙村</t>
  </si>
  <si>
    <t>通过大口井项目，使基地管理用水紧张从根本上得到改善，减少因干旱造成的损失，改善果实品质，提高果实商品率5%。</t>
  </si>
  <si>
    <t>带动全村100余户种植户人均增收2000元，带动20余户脱贫户务工增加收益</t>
  </si>
  <si>
    <t>重阳镇寺沟村猕猴桃产业水利配套设施建设项目</t>
  </si>
  <si>
    <t>重阳镇寺沟村</t>
  </si>
  <si>
    <t>寺沟村大口井项目建成后，使基地管理用水紧张从根本上得到改善，减少因干旱造成的损失，群众对项目实施效果非常满意</t>
  </si>
  <si>
    <t>带动全组20余家种植户人均可增加收入2000元。带动30余户脱贫户务工增加收益。</t>
  </si>
  <si>
    <t>重阳镇上街村猕猴桃产业水利配套设施建设项目</t>
  </si>
  <si>
    <t>新建大口井2眼，其中：1处直径3米，深10米，1处直径4米，深10米</t>
  </si>
  <si>
    <t>上街村二组杨玉山、赤付星猕猴桃水利配套项目，修建大口井二座，自用灌溉面积30亩，并服务周边150亩猕猴桃基地，带动产业标准化发展，增加产业经济效益，果实商品率提高30%，群众对该项目实施效果非常满意。</t>
  </si>
  <si>
    <t>通过就业工，新技术培训带动二组及邻组农民收益20万，通过大口井修建，减少该猕猴桃基地干旱减产死树造成损失。</t>
  </si>
  <si>
    <t>寨根乡界牌村猕猴桃产业水利配套设施建设项目</t>
  </si>
  <si>
    <t>寨根乡界牌村</t>
  </si>
  <si>
    <t>新建长5米，宽3米，深2米集水池1处及水利配套设施</t>
  </si>
  <si>
    <t>2023.5.17-2023.7.17</t>
  </si>
  <si>
    <t>西峡县春玉实业有限公司李红国</t>
  </si>
  <si>
    <t>通过工程实施，降低了界牌村55户群众猕猴桃基地灌溉成本，提高产量，增加低收入群体5户6人和种植大户收入，可吸收农村剩余劳动力在本地就业，群众对项目实施效果非常满意</t>
  </si>
  <si>
    <t>吸收农村剩余劳动力参与后期管理就业扩大充实集体经济，通过差异化分红，有助于提升村容户貌，有助于鼓励学生学业有成，有助于增加集体凝聚力，有助于乡村振兴</t>
  </si>
  <si>
    <t>寨根乡方庄新村猕猴桃产业水利配套设施建设项目</t>
  </si>
  <si>
    <t>寨根乡方庄新村</t>
  </si>
  <si>
    <t>方庄新村5组灌溉工程，新建直径1米， 深6米机井1眼，水管铺设1500米；方庄新村11组灌溉工程，新建直径1米，深5米机井1眼，水管铺设1500米；方庄新村12组灌溉工程，新建直径1米，深7米机井1眼，水管铺设2000米：方庄新村13组灌溉工程，新建直径1米，深6米机井1眼，水管铺设2500米。</t>
  </si>
  <si>
    <t>2023.6-2023.8</t>
  </si>
  <si>
    <t>降低了方庄村6个组130户群众猕猴桃基地灌溉成本，增加农户收入，通过基础设施改善和带动放庄村30户贫困户脱贫致富，预计亩增产鲜果1000斤，可吸收农村剩余劳动力在本地就业，群众对项目实施效果非常满意</t>
  </si>
  <si>
    <t>阳城镇牛王村猕猴桃产业水利配套设施建设项目</t>
  </si>
  <si>
    <t>新建长22米，高1.8米拦河坝1座</t>
  </si>
  <si>
    <t>2023-5-23至2023-7-22</t>
  </si>
  <si>
    <t>河南弘丰路桥工程有限公司，王江</t>
  </si>
  <si>
    <t>带动牛王村3个组，包含6户脱贫户在内的37户群众收益，增加群众种植业收入，预计第四年挂果后每亩年均纯收益约5000元</t>
  </si>
  <si>
    <t>阳城镇三岔村猕猴桃产业水利配套设施建设项目</t>
  </si>
  <si>
    <t>阳城镇三岔村</t>
  </si>
  <si>
    <t>新建长10米，宽3米，深2米集水池1座</t>
  </si>
  <si>
    <t>2023-5-20至2023-7-20</t>
  </si>
  <si>
    <t>西峡县真远建筑工程有限公司曹明岐</t>
  </si>
  <si>
    <t>带动三岔村5个组，包含4户脱贫户在内的21户群众收益，增加群众种植业收入，预计第四年挂果后每亩年均纯收益约5000元</t>
  </si>
  <si>
    <t>阳城镇杜岗村猕猴桃产业水利配套设施建设项目</t>
  </si>
  <si>
    <t>阳城镇杜岗村</t>
  </si>
  <si>
    <t>1、新建提灌站1处；2、新建拦河坝1处，长33.2米，高1.2</t>
  </si>
  <si>
    <t>西峡县真远建筑工程有限公司；曹明岐</t>
  </si>
  <si>
    <t>带动杜岗村6个组，包含10户脱贫户在内的55户群众收益，增加群众种植业收入，预计第四年挂果后每亩年均纯收益约5000元</t>
  </si>
  <si>
    <t>丁河镇上店村食用菌基地配套项目</t>
  </si>
  <si>
    <t>丁河镇上店村</t>
  </si>
  <si>
    <t>新建14个标准化菇棚，养菌棚17个，采用钢结构架子，双层电动遮阳网，塑料薄膜，区间道路铺砖，棚内增加喷淋设施。需要打深水井一眼，无塔供水装置一套，及架电供电系统。新建冷库车间及保险冷库一套，烘干房及烘干设备一套。建成后科容纳15万袋规模。</t>
  </si>
  <si>
    <t>菌办</t>
  </si>
  <si>
    <t>薛飞</t>
  </si>
  <si>
    <t>2023.5.1--2023.6.20</t>
  </si>
  <si>
    <t>西峡县坤茂实业有限公司 姬建党</t>
  </si>
  <si>
    <t>增加脱贫户及监测户收入，村集体收入用于村基础设施改善和带动低收入户脱贫致富，可吸收农村剩余劳动力在本地就业，群众对项目实施效果非常满意</t>
  </si>
  <si>
    <t>扩大充实集体经济，通过差异化收益，有助于提升村容户貌，有助于增加集体凝聚力，助于乡村振兴，提高人户对“双改”工作的认知度和参与度</t>
  </si>
  <si>
    <t>食用菌产业水利配套设施项目(双龙镇化山村)</t>
  </si>
  <si>
    <t>出菇棚40个，长度分别为21米、24米；12米电线杆2根，7米电线杆2根；电力配电箱13个，驱动控制箱24个，3*70铝电缆200米，4*35铝电缆90米，16平方四芯铝线265米，3*6铜芯电缆180米，3*2铜芯电缆220米；出菇棚外围遮阳卷膜系统全部为电动控制，电动卷膜器12个；雾化喷头2266个；养菌棚9个等配套设施。</t>
  </si>
  <si>
    <t>西峡县成美实业有限公司 胡永年</t>
  </si>
  <si>
    <t>豫财农综（2023）7号西财预（2023）71号</t>
  </si>
  <si>
    <t>关于下达2023年中央和省级财政衔接推进乡村振兴补助资金（巩固拓展脱贫攻坚成果和乡村振兴任务）预算的通知
关于下达2023年县级财政第一批衔接推进乡村振兴补助资金变更的通知</t>
  </si>
  <si>
    <t>西坪镇花园关村安全饮水巩固提升工程</t>
  </si>
  <si>
    <t>西坪镇花园关村</t>
  </si>
  <si>
    <t>新建大口井1眼，管理房1处，配套压力罐及机电设备，管网2481m</t>
  </si>
  <si>
    <t>水利局</t>
  </si>
  <si>
    <t>昝书怀</t>
  </si>
  <si>
    <t>2023.07-2023.9</t>
  </si>
  <si>
    <t>河南兴禹水利水电建筑工程有限公司、吴洋</t>
  </si>
  <si>
    <t>西财预（2023）31号</t>
  </si>
  <si>
    <t>关于下达关于下达2023年县级财政第一批衔接推进乡村振兴补助资金的通知</t>
  </si>
  <si>
    <t>通过提升村内水利设施水平，解决全村脱贫户生产生活用水问题，有利于农作物灌溉，有利于发展种植和养殖产业，提高全村群众生产生活质量，群众对实施效果非常满意</t>
  </si>
  <si>
    <t>通过解决生产生活用水问题，保障安全饮水，提高生活质量，促进巩固脱贫攻坚与乡村振兴有效衔接，方便群众生产生活</t>
  </si>
  <si>
    <t>西坪镇西官庄村安全饮水巩固提升工程</t>
  </si>
  <si>
    <t>西坪镇西官庄村</t>
  </si>
  <si>
    <t>新建大口井1眼，管理房1处，配套压力罐及机电设备，管网4491m</t>
  </si>
  <si>
    <t>五里桥镇杨岗村安全饮水巩固提升工程</t>
  </si>
  <si>
    <t>五里桥镇杨岗村</t>
  </si>
  <si>
    <t>新建机井1眼、管理房1处，配套压力罐及机电设备，管网10m</t>
  </si>
  <si>
    <t>上久建设有限公司、王博</t>
  </si>
  <si>
    <t>五里桥镇土槽村安全饮水巩固提升工程</t>
  </si>
  <si>
    <t>五里桥镇土槽村</t>
  </si>
  <si>
    <t>上庄组新建机井1眼，配套压力罐及机电设备，管网配套400m；大土槽组更换水泵，建彩钢瓦房1间</t>
  </si>
  <si>
    <t>五里桥镇走马岗村安全饮水巩固提升工程</t>
  </si>
  <si>
    <t>于营组新打大口井1眼、管理房1处，配套压力罐及机电设备，管网1395m;岗顶组新建大口井2眼，管理房2处，配套压力罐及机电设备，管网4156m；长岗组新建管理房1处，配套压力罐及机电设备，管网2906m</t>
  </si>
  <si>
    <t>五里桥镇白鹤湾村安全饮水巩固提升工程</t>
  </si>
  <si>
    <t>五里桥镇白鹤湾村</t>
  </si>
  <si>
    <t>新建拦河坝1座，引水主管道3198m</t>
  </si>
  <si>
    <t>五里桥镇前营村拦河坝提升改造工程</t>
  </si>
  <si>
    <t>原拦河坝提升、新建左岸防护工程</t>
  </si>
  <si>
    <t>军马河镇军马河村安全饮水巩固提升工程</t>
  </si>
  <si>
    <t>军马河镇军马河村</t>
  </si>
  <si>
    <t>新建机井1眼，管理房1处，配套压力罐及机电设备，管网549m</t>
  </si>
  <si>
    <t>丁河镇陈阳村安全饮水巩固提升工程</t>
  </si>
  <si>
    <t>丁河镇陈阳村</t>
  </si>
  <si>
    <t>新建集水井1座、调蓄池1座，管网600m</t>
  </si>
  <si>
    <t>回车镇屈原岗村安全饮水巩固提升工程</t>
  </si>
  <si>
    <t>新建机井2眼，彩钢瓦房2处，配套压力罐及机电设备，管网30m</t>
  </si>
  <si>
    <t>石界河镇石界河村安全饮水巩固提升工程</t>
  </si>
  <si>
    <t>石界河镇石界河村</t>
  </si>
  <si>
    <t>新建机井1眼，配套压力罐及机电设备，管网195m</t>
  </si>
  <si>
    <t>石界河镇小寨村安全饮水巩固提升工程</t>
  </si>
  <si>
    <t>石界河镇小寨村</t>
  </si>
  <si>
    <t>新建蓄水坝及坝前池1座，管网988m</t>
  </si>
  <si>
    <t>丹水镇黄坪村安全饮水巩固提升工程</t>
  </si>
  <si>
    <t>丹水镇黄坪村</t>
  </si>
  <si>
    <t>新建大口井5眼，管理房5处，配套压力罐及机电设备，管网9561m</t>
  </si>
  <si>
    <t>丹水镇袁庄村安全饮水巩固提升工程</t>
  </si>
  <si>
    <t>丹水镇袁庄村</t>
  </si>
  <si>
    <t>新建大口井1眼，彩钢瓦房1处，配套压力罐及机电设备，管网425m</t>
  </si>
  <si>
    <t>田关镇杜营村安全饮水巩固提升工程</t>
  </si>
  <si>
    <t>田关镇杜营村</t>
  </si>
  <si>
    <t>大块地组新建彩钢瓦房1处、配套压力罐及机电设备、管网1794m上薛营组新建彩钢瓦房1处、配套压力罐及机电设备、管网223m杜东杜西配套水泵1套、管网3822m</t>
  </si>
  <si>
    <t>田关镇田关村安全饮水巩固提升工程</t>
  </si>
  <si>
    <t>田关镇田关村</t>
  </si>
  <si>
    <t>炮房组新建大口井1眼、管理房1处、配套压力罐及机电设备、管网894m杨家庄组新建大口井1眼、管理房1处、配套压力罐及机电设备、管网55m</t>
  </si>
  <si>
    <t>重阳镇香坊村安全饮水巩固提升工程</t>
  </si>
  <si>
    <t>重阳镇香坊村</t>
  </si>
  <si>
    <t>新建机井2眼，建管理房2处、配套压力罐及机电设备、管网2490m</t>
  </si>
  <si>
    <t>双龙镇伏岭村安全饮水巩固提升工程</t>
  </si>
  <si>
    <t>双龙镇伏岭村</t>
  </si>
  <si>
    <t>新建大口井1眼，管理房1处，配套压力罐及机电设备、管网3513m</t>
  </si>
  <si>
    <t>米坪镇河西村安全饮水巩固提升工程</t>
  </si>
  <si>
    <t>米坪镇河西村</t>
  </si>
  <si>
    <t>新建调蓄池1座，管网40m</t>
  </si>
  <si>
    <t>脱贫村人居环境整治及补齐小型基础设施短板项目（双龙镇汪坟村）</t>
  </si>
  <si>
    <t>双龙镇汪坟村</t>
  </si>
  <si>
    <r>
      <rPr>
        <sz val="11"/>
        <rFont val="楷体_GB2312"/>
        <charset val="134"/>
      </rPr>
      <t>①雨污水分流提升工程:铺设HDPE双壁波纹管DN400(污水管)，长1500m,砖砌污水检查井（配Φ700铸铁井盖）52座；砖砌检查井（井深1.2米）2座；30m</t>
    </r>
    <r>
      <rPr>
        <sz val="11"/>
        <rFont val="宋体"/>
        <charset val="134"/>
      </rPr>
      <t>³</t>
    </r>
    <r>
      <rPr>
        <sz val="11"/>
        <rFont val="楷体_GB2312"/>
        <charset val="134"/>
      </rPr>
      <t>成品玻璃钢三格化粪池3个等;②道路提升工程:上街组入户道路，新建480</t>
    </r>
    <r>
      <rPr>
        <sz val="11"/>
        <rFont val="宋体"/>
        <charset val="134"/>
      </rPr>
      <t>㎡</t>
    </r>
    <r>
      <rPr>
        <sz val="11"/>
        <rFont val="楷体_GB2312"/>
        <charset val="134"/>
      </rPr>
      <t>厚15cm的C30混凝土道路；村部周边入户道路，新建500</t>
    </r>
    <r>
      <rPr>
        <sz val="11"/>
        <rFont val="宋体"/>
        <charset val="134"/>
      </rPr>
      <t>㎡</t>
    </r>
    <r>
      <rPr>
        <sz val="11"/>
        <rFont val="楷体_GB2312"/>
        <charset val="134"/>
      </rPr>
      <t>厚15cm的C30混凝土道路；新村部新桥两头主道路，新建2160</t>
    </r>
    <r>
      <rPr>
        <sz val="11"/>
        <rFont val="宋体"/>
        <charset val="134"/>
      </rPr>
      <t>㎡</t>
    </r>
    <r>
      <rPr>
        <sz val="11"/>
        <rFont val="楷体_GB2312"/>
        <charset val="134"/>
      </rPr>
      <t>厚18cm的C30混凝土道路等;③公共卫生厕所建设项目:新修建公厕1座，长7m,宽5m,高3.5m，占地面积35</t>
    </r>
    <r>
      <rPr>
        <sz val="11"/>
        <rFont val="宋体"/>
        <charset val="134"/>
      </rPr>
      <t>㎡</t>
    </r>
    <r>
      <rPr>
        <sz val="11"/>
        <rFont val="楷体_GB2312"/>
        <charset val="134"/>
      </rPr>
      <t>等配套设施；④环境整治项目：新建环境基础建设360m；垃圾设施配套，新能源公益项目及配套设施等。自筹资金建设内容：街道立面徽派改造120户，墙基层处理并喷涂涂料约10500</t>
    </r>
    <r>
      <rPr>
        <sz val="11"/>
        <rFont val="宋体"/>
        <charset val="134"/>
      </rPr>
      <t>㎡</t>
    </r>
    <r>
      <rPr>
        <sz val="11"/>
        <rFont val="楷体_GB2312"/>
        <charset val="134"/>
      </rPr>
      <t>；街道徽派建筑屋顶挑檐造型120户约1200m；街道立面墙裙120户，70cm高，约840</t>
    </r>
    <r>
      <rPr>
        <sz val="11"/>
        <rFont val="宋体"/>
        <charset val="134"/>
      </rPr>
      <t>㎡</t>
    </r>
    <r>
      <rPr>
        <sz val="11"/>
        <rFont val="楷体_GB2312"/>
        <charset val="134"/>
      </rPr>
      <t>等配套设施。（具体建设内容详见审计报告）</t>
    </r>
  </si>
  <si>
    <t>2023.6--10</t>
  </si>
  <si>
    <t>河南顿赢建设工程有限公司樊燕</t>
  </si>
  <si>
    <t>西衔接组（2023）21号</t>
  </si>
  <si>
    <t>努力改善农村生产生活条件和人居住环境，逐步建立健全农村环境整治长效机制，提高农村居民生活质量，增强对外文化信息交流</t>
  </si>
  <si>
    <t>通过改善生产生活条件，打通外界信息文化通道，打造宜美乡村，促进巩固脱贫攻坚与乡村振兴有效衔接，方便群众生产生活</t>
  </si>
  <si>
    <t>脱贫村人居环境整治及补齐小型基础设施短板项目（阳城镇茧场村）</t>
  </si>
  <si>
    <t>阳城镇茧场村</t>
  </si>
  <si>
    <r>
      <rPr>
        <sz val="11"/>
        <rFont val="楷体_GB2312"/>
        <charset val="134"/>
      </rPr>
      <t>①雨污水分流提升工程中排水渠渠道断面规格800mm*800mm，20cm厚现浇钢筋混凝土整体盖板。污水管网铺设400m（含切割600mm宽、开挖800mm深、回填上下各100mm砂砾垫层、路面恢复），DN300钢带波纹管（胶圈接口）；砼砌污水检查井20个。沉淀井10个,1200mm*1200mm*2770mm矩形砌筑井等；岈子组：硬边加盖排水渠1600m，渠道断面规格600mm*800mm，钢筋混凝土成品盖板1100mm*500mm*150mm，污水管网铺设1600m（含切割、开挖、回填、路面恢复），DN300钢带波纹管（胶圈接口）；砼砌污水检查井50个；沉淀井50个，1200mm*1200mm*2770mm矩形砌筑井等②道路提升工程:茧场组：新铺设4cm厚沥青路面2800</t>
    </r>
    <r>
      <rPr>
        <sz val="11"/>
        <rFont val="宋体"/>
        <charset val="134"/>
      </rPr>
      <t>㎡</t>
    </r>
    <r>
      <rPr>
        <sz val="11"/>
        <rFont val="楷体_GB2312"/>
        <charset val="134"/>
      </rPr>
      <t>，岈子组：加宽（修补）硬化道路1000</t>
    </r>
    <r>
      <rPr>
        <sz val="11"/>
        <rFont val="宋体"/>
        <charset val="134"/>
      </rPr>
      <t>㎡</t>
    </r>
    <r>
      <rPr>
        <sz val="11"/>
        <rFont val="楷体_GB2312"/>
        <charset val="134"/>
      </rPr>
      <t>，厚15--18cm；新铺设5</t>
    </r>
    <r>
      <rPr>
        <sz val="11"/>
        <rFont val="宋体"/>
        <charset val="134"/>
      </rPr>
      <t>㎝</t>
    </r>
    <r>
      <rPr>
        <sz val="11"/>
        <rFont val="楷体_GB2312"/>
        <charset val="134"/>
      </rPr>
      <t>沥青路面3000</t>
    </r>
    <r>
      <rPr>
        <sz val="11"/>
        <rFont val="宋体"/>
        <charset val="134"/>
      </rPr>
      <t>㎡</t>
    </r>
    <r>
      <rPr>
        <sz val="11"/>
        <rFont val="楷体_GB2312"/>
        <charset val="134"/>
      </rPr>
      <t>；③2000</t>
    </r>
    <r>
      <rPr>
        <sz val="11"/>
        <rFont val="宋体"/>
        <charset val="134"/>
      </rPr>
      <t>㎡</t>
    </r>
    <r>
      <rPr>
        <sz val="11"/>
        <rFont val="楷体_GB2312"/>
        <charset val="134"/>
      </rPr>
      <t>地平建设；④环境整治项目：茧场组：环境基础建设约400m；岈子组：环境基础建设约1000m；垃圾设施配套，新能源公益项目及配套设施等。  自筹资金建设内容：茧场组：人工湿地不锈钢防护栏长400m，高1.5m；花池绿化1000</t>
    </r>
    <r>
      <rPr>
        <sz val="11"/>
        <rFont val="宋体"/>
        <charset val="134"/>
      </rPr>
      <t>㎡</t>
    </r>
    <r>
      <rPr>
        <sz val="11"/>
        <rFont val="楷体_GB2312"/>
        <charset val="134"/>
      </rPr>
      <t>（红叶石楠、小叶女贞、月季花、草坪）。岈子组：花池绿化1500</t>
    </r>
    <r>
      <rPr>
        <sz val="11"/>
        <rFont val="宋体"/>
        <charset val="134"/>
      </rPr>
      <t>㎡</t>
    </r>
    <r>
      <rPr>
        <sz val="11"/>
        <rFont val="楷体_GB2312"/>
        <charset val="134"/>
      </rPr>
      <t>（红叶石楠、小叶女贞、月季花、草坪）。立面改造岈子组、茧场组8000</t>
    </r>
    <r>
      <rPr>
        <sz val="11"/>
        <rFont val="宋体"/>
        <charset val="134"/>
      </rPr>
      <t>㎡</t>
    </r>
    <r>
      <rPr>
        <sz val="11"/>
        <rFont val="楷体_GB2312"/>
        <charset val="134"/>
      </rPr>
      <t>；电商平台1个；新时代文明实践站升级改造及村史馆；宣传版面及不锈钢宣传栏；养羊场升级改造等（具体建设内容详见审计报告）</t>
    </r>
  </si>
  <si>
    <t>河南富国建筑工程有限公司西峡分公司
贾正仙</t>
  </si>
  <si>
    <t>脱贫村人居环境整治及补齐小型基础设施短板项目（桑坪镇石灰岭村）</t>
  </si>
  <si>
    <t>①雨污水分流提升工程：岭西一组污水处理一：DN300塑料管200米，DN160塑料管400米，砌筑井5座，5*4*3m砖砌化粪池一座;岭西一组污水处理二：DN300塑料管100米，DN160塑料管100米，砌筑井3座，3*3*2米砖砌化粪池一座；吴家沟口排水沟硬化：宽1米排水沟硬化，C15混凝土，厚度10CM，100平方米；②道路提升工程:吴家沟口道路加宽硬化：15公分厚C30混凝土硬化共300平方米；岭西一组新修生产道路：长300米，宽4米，15公分厚C30混凝土，1200平方米；徐家庄村庄内泥土路部分硬化：15公分厚C30混凝土，330平方米③公共卫生厕所建设项目：新建公厕一座,长8米，宽4米，高3米，砖砌化粪池一座3*3*2米等配套设施；④环境整治项目：吴家沟口村庄通道沿线花岗岩道牙长800米，规格300*150*1000mm；吴家沟口新修浆砌石290立方米；吴家沟口小广场铺装1000平方米，铺设生态砖规格230*115*50mm，C20混凝土垫层20cm厚；吴家沟口河道护坡，C25混凝土垫层20cm厚，面积800平方米；徐家庄大树下休闲小广场铺装，面积60平方米，生态砖230*115*50mm；岭西一组村庄及广场周边安装道牙400米，300*150*1000mm芝麻灰花岗岩道牙；安砌侧(平、缘）石430米（300*150*1000mm芝麻灰花岗岩道牙）新修采摘园沿线；安砌侧(平、缘）石1000米生态步道两侧（300*150*1000mm芝麻灰花岗岩道牙）；生态步道550平方米；岭西两个组生产场地硬化：水泥混凝土500平方米C25混凝土15厘米厚；石灰岭7个村民小组：垃圾设施配套等。自筹资金建设内容：吴家沟口新修亭子及廊架：防腐木六角亭1座，防腐木艺术廊架20米；徐家庄采摘园新修亭子及廊架：防腐木六角亭1座，防腐木艺术廊架40米；吴家沟口新装河道栏杆：花岗岩石材栏杆434米；徐家庄、吴家沟口墙体粉刷及墙体文化：墙面乳胶漆1100平方米；整理绿化用地5100平方米，种植土回填1500立方米等（具体建设内容详见审计报告）</t>
  </si>
  <si>
    <t>西峡县金林园林绿化工程有限公司
赵珂</t>
  </si>
  <si>
    <t>脱贫村人居环境整治及补齐小型基础设施短板项目（西坪镇瓦房店村）</t>
  </si>
  <si>
    <t>西坪镇瓦房店村</t>
  </si>
  <si>
    <r>
      <rPr>
        <sz val="11"/>
        <rFont val="楷体_GB2312"/>
        <charset val="134"/>
      </rPr>
      <t>①雨污水分流提升工程:5组:HDPE双臂波纹管DN300（污水管），长968m，其中需破路部分长360m；砼砌污水检查井22个；雨水排水明沟，长976m，其中需破路部分长206m；砖砌化粪池75m</t>
    </r>
    <r>
      <rPr>
        <sz val="11"/>
        <rFont val="宋体"/>
        <charset val="134"/>
      </rPr>
      <t>³</t>
    </r>
    <r>
      <rPr>
        <sz val="11"/>
        <rFont val="楷体_GB2312"/>
        <charset val="134"/>
      </rPr>
      <t>一个；砖砌化粪池50m</t>
    </r>
    <r>
      <rPr>
        <sz val="11"/>
        <rFont val="宋体"/>
        <charset val="134"/>
      </rPr>
      <t>³</t>
    </r>
    <r>
      <rPr>
        <sz val="11"/>
        <rFont val="楷体_GB2312"/>
        <charset val="134"/>
      </rPr>
      <t>一个；砖砌化粪池12m</t>
    </r>
    <r>
      <rPr>
        <sz val="11"/>
        <rFont val="宋体"/>
        <charset val="134"/>
      </rPr>
      <t>³</t>
    </r>
    <r>
      <rPr>
        <sz val="11"/>
        <rFont val="楷体_GB2312"/>
        <charset val="134"/>
      </rPr>
      <t>两个；砖砌化粪池20m</t>
    </r>
    <r>
      <rPr>
        <sz val="11"/>
        <rFont val="宋体"/>
        <charset val="134"/>
      </rPr>
      <t>³</t>
    </r>
    <r>
      <rPr>
        <sz val="11"/>
        <rFont val="楷体_GB2312"/>
        <charset val="134"/>
      </rPr>
      <t>两个；6组:HDPE双臂波纹管DN300（污水管），长906m，其中需破路部分长1146m；砼砌污水检查井28个；雨水排水明沟，长115.5m；砖砌100m</t>
    </r>
    <r>
      <rPr>
        <sz val="11"/>
        <rFont val="宋体"/>
        <charset val="134"/>
      </rPr>
      <t>³</t>
    </r>
    <r>
      <rPr>
        <sz val="11"/>
        <rFont val="楷体_GB2312"/>
        <charset val="134"/>
      </rPr>
      <t>化粪池1个，砖砌12m</t>
    </r>
    <r>
      <rPr>
        <sz val="11"/>
        <rFont val="宋体"/>
        <charset val="134"/>
      </rPr>
      <t>³</t>
    </r>
    <r>
      <rPr>
        <sz val="11"/>
        <rFont val="楷体_GB2312"/>
        <charset val="134"/>
      </rPr>
      <t>化粪池2个；②道路提升工程:5组:新建长262.5m，宽3m，厚15cm的C30混凝土道路；6组:新建长183m，宽3m，厚15cm的C30混凝土道路；巷口硬化厚15cm的C25混凝土14.1m</t>
    </r>
    <r>
      <rPr>
        <sz val="11"/>
        <rFont val="宋体"/>
        <charset val="134"/>
      </rPr>
      <t>²</t>
    </r>
    <r>
      <rPr>
        <sz val="11"/>
        <rFont val="楷体_GB2312"/>
        <charset val="134"/>
      </rPr>
      <t>；③公共卫生厕所建设项目:6组修建公厕1座，长5m,宽4m,高3.5m，占地面积20</t>
    </r>
    <r>
      <rPr>
        <sz val="11"/>
        <rFont val="宋体"/>
        <charset val="134"/>
      </rPr>
      <t>㎡</t>
    </r>
    <r>
      <rPr>
        <sz val="11"/>
        <rFont val="楷体_GB2312"/>
        <charset val="134"/>
      </rPr>
      <t xml:space="preserve">；④环境整治项目：5组：新建浆砌石挡墙高0.6m，长36m，加高浆砌石挡墙高2m，长60m；环境基础建设约580m及垃圾配套设施等；6组：环境基础建设约320m及垃圾配套设施等。                                                           </t>
    </r>
    <r>
      <rPr>
        <b/>
        <sz val="11"/>
        <rFont val="楷体_GB2312"/>
        <charset val="134"/>
      </rPr>
      <t>自筹资金建设内容：</t>
    </r>
    <r>
      <rPr>
        <sz val="11"/>
        <rFont val="楷体_GB2312"/>
        <charset val="134"/>
      </rPr>
      <t>立体面改造：水泥砂浆（配比1:2）粉刷，外墙乳胶漆2遍粉刷，外墙立体面改造（含装饰脚手架），工程量3303</t>
    </r>
    <r>
      <rPr>
        <sz val="11"/>
        <rFont val="宋体"/>
        <charset val="134"/>
      </rPr>
      <t>㎡</t>
    </r>
    <r>
      <rPr>
        <sz val="11"/>
        <rFont val="楷体_GB2312"/>
        <charset val="134"/>
      </rPr>
      <t>；绿化：高度600cm红叶石楠篱笆600</t>
    </r>
    <r>
      <rPr>
        <sz val="11"/>
        <rFont val="宋体"/>
        <charset val="134"/>
      </rPr>
      <t>㎡</t>
    </r>
    <r>
      <rPr>
        <sz val="11"/>
        <rFont val="楷体_GB2312"/>
        <charset val="134"/>
      </rPr>
      <t>；高度600cm小叶女贞280</t>
    </r>
    <r>
      <rPr>
        <sz val="11"/>
        <rFont val="宋体"/>
        <charset val="134"/>
      </rPr>
      <t>㎡</t>
    </r>
    <r>
      <rPr>
        <sz val="11"/>
        <rFont val="楷体_GB2312"/>
        <charset val="134"/>
      </rPr>
      <t>；球径1200cm红叶石楠球150棵；杆径4cm高杆月季200棵；杆径5cm红枫50棵；麦冬450</t>
    </r>
    <r>
      <rPr>
        <sz val="11"/>
        <rFont val="宋体"/>
        <charset val="134"/>
      </rPr>
      <t>㎡</t>
    </r>
    <r>
      <rPr>
        <sz val="11"/>
        <rFont val="楷体_GB2312"/>
        <charset val="134"/>
      </rPr>
      <t>；混播草籽400</t>
    </r>
    <r>
      <rPr>
        <sz val="11"/>
        <rFont val="宋体"/>
        <charset val="134"/>
      </rPr>
      <t>㎡</t>
    </r>
    <r>
      <rPr>
        <sz val="11"/>
        <rFont val="楷体_GB2312"/>
        <charset val="134"/>
      </rPr>
      <t>；厚2cm碎石板游园铺装180</t>
    </r>
    <r>
      <rPr>
        <sz val="11"/>
        <rFont val="宋体"/>
        <charset val="134"/>
      </rPr>
      <t>㎡</t>
    </r>
    <r>
      <rPr>
        <sz val="11"/>
        <rFont val="楷体_GB2312"/>
        <charset val="134"/>
      </rPr>
      <t>；亮化：需6.8米长太阳能路灯30盏。（具体建设内容详见审计报告）</t>
    </r>
  </si>
  <si>
    <t>河南盛发建设有限公司西峡第一分公司 王豪
河南恒鑫建设工程有限公司阳城分公司
杨建华</t>
  </si>
  <si>
    <t>2023年西峡县低收入家庭户外出务工一次性交通补助项目</t>
  </si>
  <si>
    <t>对跨省就业人员每人一次性补助400元</t>
  </si>
  <si>
    <t>西衔接组（2022）44号</t>
  </si>
  <si>
    <t>对全县脱贫人口外出务工家庭给予生活补助，群众对项目实施效果非常满意</t>
  </si>
  <si>
    <t>给予对外出务工家庭生活补助，提高生活质量</t>
  </si>
  <si>
    <t>实用技术培训及龙头企业就业奖补项目</t>
  </si>
  <si>
    <t>对龙头企业吸收脱贫户及监控户就业补助奖励</t>
  </si>
  <si>
    <t>2022.10.--2023.10</t>
  </si>
  <si>
    <t>做好我县巩固拓展脱贫攻坚成果同乡村振兴有效衔接，激励县域内农业产业化龙头企业、新型农业经营主体及其他工商企业吸纳脱贫户和监测户普通劳动力就地就近稳定就业，持续增加收入</t>
  </si>
  <si>
    <t>全县13家企业吸纳95户脱贫户（监测户）就业，对13家企业奖补资金41.5268万元。</t>
  </si>
  <si>
    <t>产业化贴息项目</t>
  </si>
  <si>
    <t>1.按每带动一人企业获得2万元贷款、年利率2%、每人贴息400元，帮扶2000户对2家企业贴息共80万元；2.按企业贷款10300万元规模、年利率1.8932%、帮扶864户，对宛药公司贴息195万元。</t>
  </si>
  <si>
    <t>2022.5.1--2023.6.30</t>
  </si>
  <si>
    <t>仲景宛药仲景食品果然风情</t>
  </si>
  <si>
    <t>西衔接组（2023）27、49号</t>
  </si>
  <si>
    <t>带动2864名分散特困供养脱贫人口和监测对象增收的企业及新型经营主体进行贴息补助，每人年均收益720元以上,群众对实施效果非常满意</t>
  </si>
  <si>
    <t>通过对企业扶持，企业发展壮大，扶持脱贫户和检测对象利用自身优势积极发展相关产业，带动地区产业发展，靠自身劳动增收致富，实现持续增收稳定脱贫。</t>
  </si>
  <si>
    <t>项目结余资金重新使用</t>
  </si>
  <si>
    <t>中华蜂技术购买服务项目</t>
  </si>
  <si>
    <t>相关乡镇</t>
  </si>
  <si>
    <t>对全县中华蜂养殖的村技术员进行养蜂技术培训</t>
  </si>
  <si>
    <t>丁河镇宣沟村截流潜流坝建设项目（以工代赈）</t>
  </si>
  <si>
    <t>丁河镇宣沟村</t>
  </si>
  <si>
    <t>新建截流潜流坝一座，坝长65.98米，坝高2.5米。</t>
  </si>
  <si>
    <t>发改委</t>
  </si>
  <si>
    <t>冯子春</t>
  </si>
  <si>
    <t>2023.7.10-8.9</t>
  </si>
  <si>
    <t>何星</t>
  </si>
  <si>
    <t>西衔接组（2023）24号</t>
  </si>
  <si>
    <t>宛财预（2023）254号</t>
  </si>
  <si>
    <t>关于下达2023年市级财政衔接推进乡村振兴补助资金（以工代赈任务）的通知</t>
  </si>
  <si>
    <t>通过提升易地搬迁安置点内水利设施水平，解决安置点所有脱贫户生产生活用水问题，有利于农作物灌溉，有利于发展种植和养殖产业，提高安置点群众生产生活质量，群众对实施效果非常满意</t>
  </si>
  <si>
    <t>通过解决生产生活用水问题，促进巩固脱贫攻坚与乡村振兴有效衔接，方便群众生产生活</t>
  </si>
  <si>
    <t>市派第一书记项目（五里桥镇走马岗村道路硬化项目）</t>
  </si>
  <si>
    <t>长1公里，宽3.5米，厚0.18米，C25砼水泥路面水泥路一条</t>
  </si>
  <si>
    <t>2023.6.10--6.20</t>
  </si>
  <si>
    <t>西衔接组（2023）11号</t>
  </si>
  <si>
    <t>宛财预（2023）255号</t>
  </si>
  <si>
    <t>市派第一书记项目（回车镇大块地村张营组污水管网项目）</t>
  </si>
  <si>
    <t>回车镇大块地村</t>
  </si>
  <si>
    <r>
      <rPr>
        <sz val="11"/>
        <rFont val="楷体_GB2312"/>
        <charset val="134"/>
      </rPr>
      <t>20cm厚C25混凝土路恢复1140</t>
    </r>
    <r>
      <rPr>
        <sz val="11"/>
        <rFont val="宋体"/>
        <charset val="134"/>
      </rPr>
      <t>㎡</t>
    </r>
    <r>
      <rPr>
        <sz val="11"/>
        <rFont val="楷体_GB2312"/>
        <charset val="134"/>
      </rPr>
      <t>，高密度聚乙烯双壁波纹管640.4m等设施配套</t>
    </r>
  </si>
  <si>
    <t>2023.5.29--7.5</t>
  </si>
  <si>
    <t>河南一环建设发展有限公司 李可杰</t>
  </si>
  <si>
    <t>豫财农综（2023）27号宛财预（2023）255号</t>
  </si>
  <si>
    <t>关于下达2023年第二批省级财政衔接推进乡村振兴补助资金（巩固拓展脱贫攻坚成果和乡村振兴任务）预算的通知
关于下达2023年市级财政衔接推进乡村振兴补助资金（以工代赈任务）的通知</t>
  </si>
  <si>
    <t>市派第一书记项目（石界河镇通渠村生产桥、护岸及活动场所建设项目）</t>
  </si>
  <si>
    <t>石界河镇通渠村</t>
  </si>
  <si>
    <r>
      <rPr>
        <sz val="11"/>
        <rFont val="楷体_GB2312"/>
        <charset val="134"/>
      </rPr>
      <t>桥长29米，宽4.5米，M7.5浆砌石712.5m</t>
    </r>
    <r>
      <rPr>
        <sz val="11"/>
        <rFont val="宋体"/>
        <charset val="134"/>
      </rPr>
      <t>³</t>
    </r>
    <r>
      <rPr>
        <sz val="11"/>
        <rFont val="楷体_GB2312"/>
        <charset val="134"/>
      </rPr>
      <t>，C25砼场地硬化600平方米等</t>
    </r>
  </si>
  <si>
    <t>2023.5.4-6.3</t>
  </si>
  <si>
    <t>西峡县屹然工程有限公司</t>
  </si>
  <si>
    <t>市派第一书记项目（米坪镇王庄村河堤及桥涵工程建设项目）</t>
  </si>
  <si>
    <t>米坪镇王庄村</t>
  </si>
  <si>
    <r>
      <rPr>
        <sz val="11"/>
        <rFont val="楷体_GB2312"/>
        <charset val="134"/>
      </rPr>
      <t>新建长15米，宽4米涵洞一座，浆砌石挡墙68.7m</t>
    </r>
    <r>
      <rPr>
        <sz val="11"/>
        <rFont val="宋体"/>
        <charset val="134"/>
      </rPr>
      <t>³</t>
    </r>
    <r>
      <rPr>
        <sz val="11"/>
        <rFont val="楷体_GB2312"/>
        <charset val="134"/>
      </rPr>
      <t>，C25混凝土盖板20.2m</t>
    </r>
    <r>
      <rPr>
        <sz val="11"/>
        <rFont val="宋体"/>
        <charset val="134"/>
      </rPr>
      <t>³</t>
    </r>
    <r>
      <rPr>
        <sz val="11"/>
        <rFont val="楷体_GB2312"/>
        <charset val="134"/>
      </rPr>
      <t>等设施配套</t>
    </r>
  </si>
  <si>
    <t>2023.5.15-7.5</t>
  </si>
  <si>
    <t>河南兴禹水利水电建筑工程有限公司解燕飞</t>
  </si>
  <si>
    <t>市派第一书记项目（米坪镇石门村阳坡组段水毁堤防修复工程）</t>
  </si>
  <si>
    <t>米坪镇石门村</t>
  </si>
  <si>
    <r>
      <rPr>
        <sz val="11"/>
        <rFont val="楷体_GB2312"/>
        <charset val="134"/>
      </rPr>
      <t>浆砌石挡墙687m</t>
    </r>
    <r>
      <rPr>
        <sz val="11"/>
        <rFont val="宋体"/>
        <charset val="134"/>
      </rPr>
      <t>³</t>
    </r>
  </si>
  <si>
    <t>2023.5.15--6.15</t>
  </si>
  <si>
    <t>市派第一书记项目（双龙镇双龙村道路硬化项目）</t>
  </si>
  <si>
    <t>双龙镇双龙村</t>
  </si>
  <si>
    <t>新建长350米，宽4米，厚0.18米，C30砼水泥路面水泥路一条</t>
  </si>
  <si>
    <t>2023.6.1--6.30</t>
  </si>
  <si>
    <t>西峡厚诚工程责任有限公司</t>
  </si>
  <si>
    <t>重阳镇五朵村农村村组道路建设项目</t>
  </si>
  <si>
    <t>重阳镇五朵村</t>
  </si>
  <si>
    <t>1公里*3.5M</t>
  </si>
  <si>
    <t>米坪镇行上村农村村组道路建设项目</t>
  </si>
  <si>
    <t>米坪镇行上村</t>
  </si>
  <si>
    <t>3.96公里*3.5M</t>
  </si>
  <si>
    <t>回车镇大块地村农村村组道路建设项目</t>
  </si>
  <si>
    <t>0.55公里*3.5M</t>
  </si>
  <si>
    <t>阳城镇张堂村农村村组道路建设项目</t>
  </si>
  <si>
    <t>阳城镇张堂村</t>
  </si>
  <si>
    <t>0.65公里*(3.5-4.5)m</t>
  </si>
  <si>
    <t>田关镇王营村农村村组道路建设项目</t>
  </si>
  <si>
    <t>田关镇王营村</t>
  </si>
  <si>
    <t>0.65公里*4.5m</t>
  </si>
  <si>
    <t>丁河镇赵心沟农村村组道路建设项目</t>
  </si>
  <si>
    <t>丁河镇赵心沟</t>
  </si>
  <si>
    <t>1.37公里*6.5m</t>
  </si>
  <si>
    <t>重阳镇重阳村食用菌基地改造提升项目</t>
  </si>
  <si>
    <t>标准化香菇棚1座，可放10万袋香菇，硬化出菇棚及生产道路2423平方米，深水井一眼，5吨无塔罐1座，5.5千瓦水泵两台，食用菌数字化控制系统一套，35平方电缆200米及配套设施。</t>
  </si>
  <si>
    <t>2023.5.1--2023.5.31</t>
  </si>
  <si>
    <t>西峡县圣美实业有限公司 胡波</t>
  </si>
  <si>
    <t>二郎坪镇中坪村食用菌基地改造提升项目</t>
  </si>
  <si>
    <t>二郎坪镇中坪村</t>
  </si>
  <si>
    <t>1.15万袋标准化香菇大棚21个，包括外棚、内外遮阴网；2.基地用配电设施；3.硬化道路598平方米；4.打深水井一个无塔供水装置一套；5.增加主管道及喷淋设施；7.基地内挖方平整8160平方。</t>
  </si>
  <si>
    <t>西峡县军平工程有限公司 孙军平</t>
  </si>
  <si>
    <t>阳城镇牛王村食用菌产业水利配套设施项目</t>
  </si>
  <si>
    <t>占地10亩，建设标准化香菇大棚40个，9个养菌棚，双层遮阴棚10000平米，硬化道路280平米，砖铺通道1350平米，机井一座，主管道800米，喷淋管道1300米，排水沟442米，可以容纳15万袋。</t>
  </si>
  <si>
    <t>豫财农综（2023）7号</t>
  </si>
  <si>
    <t>关于下达2023年中央和省级财政衔接推进乡村振兴补助资金（巩固拓展脱贫攻坚成果和乡村振兴任务）预算的通知</t>
  </si>
  <si>
    <t>重阳镇西营村食用菌产业水利配套设施项目</t>
  </si>
  <si>
    <t>重阳镇西营村</t>
  </si>
  <si>
    <t>建设标准化出菇棚7个，恒温养菌棚2个，主要建设内容为生产道路硬化垫砂、出菇架、养菌架、外遮阳骨架、外遮阳系统、电动遮阳网卷膜系统、喷淋系统、供电系统等。</t>
  </si>
  <si>
    <t>发展新型农村集体经济项目（田关镇小峪村）</t>
  </si>
  <si>
    <t>田关镇小峪村</t>
  </si>
  <si>
    <t>烟叶烘烤中心建设项目：新建700左右平方米钢混结构厂房一座，可用面积约1000平方米</t>
  </si>
  <si>
    <t>2023.9.25-2023.10.24</t>
  </si>
  <si>
    <t>河南省大秦富强建设工程有限公司               王海岸</t>
  </si>
  <si>
    <t>西衔接组（2023）36号</t>
  </si>
  <si>
    <t>发展新型农村集体经济项目（丹水镇菊花村）</t>
  </si>
  <si>
    <t>丹水镇菊花村</t>
  </si>
  <si>
    <t>购置山工656F铲车1台，用于企业生产</t>
  </si>
  <si>
    <t>河南扬涛实业有限公司     杨国强</t>
  </si>
  <si>
    <t>发展新型农村集体经济项目（丹水镇英湾村）</t>
  </si>
  <si>
    <t>丹水镇英湾村</t>
  </si>
  <si>
    <t>购置70马力、90马力120马力拖拉机各1台、多功能变速旋耕机2台，服务当地农业、农村生产。</t>
  </si>
  <si>
    <t>2023.11.1-2023.11-30</t>
  </si>
  <si>
    <t>河南省育林机械装备有限      公司        杨晓</t>
  </si>
  <si>
    <t>发展新型农村集体经济项目（回车镇古装和村）</t>
  </si>
  <si>
    <t>回车镇古庄河村</t>
  </si>
  <si>
    <t>购置5台机械工具车，包括多功能抑尘车1台、锂电新能源叉车2台、内燃平衡重式叉车1台、小型挖掘机1台。开展设备服务业务，用于服务人居环境整治、农业产业基地灌溉和电商服务中心农产品搬运、装卸等。</t>
  </si>
  <si>
    <t>发展新型农村集体经济项目(五里桥镇燕岗村）</t>
  </si>
  <si>
    <t>五里桥镇宋沟村</t>
  </si>
  <si>
    <t>修建一座仓储物流中心，建设面积1200平方米的仓储车间;水泥硬化场地600平方米;道路硬化200米，大门院墙150米</t>
  </si>
  <si>
    <t>2023.9.20-2023.11.19</t>
  </si>
  <si>
    <t>河南鹏运建设工程有限公司李黎</t>
  </si>
  <si>
    <t>发展新型农村集体经济项目（丁河镇邪地村）</t>
  </si>
  <si>
    <t>丁河镇邪地村</t>
  </si>
  <si>
    <t>在邪地村部院内建设两层钢结构香菇加工厂房一座，香菇加工厂房面积为1000平方</t>
  </si>
  <si>
    <t>河南湍润建设工程有限公司景新芳</t>
  </si>
  <si>
    <t>发展新型农村集体经济项目（丁河镇宣沟村村）</t>
  </si>
  <si>
    <t>丁河镇宣沟村村</t>
  </si>
  <si>
    <t>购买多功能自动化通用烘干机（HT-KPHH-15）机械设备4台及烘干盘若干，主要用于银耳、香菇、猕猴桃等特色农产品食品深加工，年可生产烘干食品20万吨</t>
  </si>
  <si>
    <t>河南双楼建筑工程有限公司 王建民</t>
  </si>
  <si>
    <t>发展新型农村集体经济项目（重阳镇下街村）</t>
  </si>
  <si>
    <t>重阳镇下街村</t>
  </si>
  <si>
    <t>购买120马力收割机1台、90马力拖拉机1台、液压翻转犁1台、变速旋耕机1台、轻卡车型各1辆，用于当地农业生产。</t>
  </si>
  <si>
    <t>发展新型农村集体经济项目（西坪镇唐家湾村）</t>
  </si>
  <si>
    <t>西坪镇唐家湾村</t>
  </si>
  <si>
    <t>冷库建设项目：建设占地面积为252平方米，容量250吨冷库板、风冷30匹低温机组2台，风机4台，电控箱2台，风幕机2台、电线等</t>
  </si>
  <si>
    <t>盛发建设    有限公司        陈桂林</t>
  </si>
  <si>
    <t>发展新型农村集体经济项目（双龙镇汪坟村）</t>
  </si>
  <si>
    <t>香菇基地建设项目：项目计划建设出菇棚38个左右，主体结构为钢结构，由钢管焊接组成，外覆塑料薄膜；建设外棚（遮阴棚），用水泥杆框架，双绞线拉撑遮阴网，总占地约10亩；同步配套的水电、监控设施等</t>
  </si>
  <si>
    <t>河南省兴智建设工程有限   公司         张红然</t>
  </si>
  <si>
    <t>食用菌产业水利配套设施项目(丁河镇简村)</t>
  </si>
  <si>
    <t>新建52个标准化香菇大棚，可容纳25万袋规模，主要建设内容为生产道路硬化或铺砖、砂石处理、内外棚架、电动遮阳网卷膜系统、8米深水井4座、无塔供水装置一套、喷淋系统、供电系统等及提升。</t>
  </si>
  <si>
    <t>2023.5.1--2023.6.10</t>
  </si>
  <si>
    <t>南阳市梓暖实业有限公司 周子茂</t>
  </si>
  <si>
    <t>食用菌产业水利配套设施项目(西坪镇峡河村)</t>
  </si>
  <si>
    <t>西坪镇峡河村</t>
  </si>
  <si>
    <t>对21个棚进行遮阳棚双网改造提升，喷淋设施，深水井无塔罐供水系统，生产主路硬化，箱式变压器一台，可容纳20万袋生产规模。</t>
  </si>
  <si>
    <t>南阳广宏商贸有限公司 韩笑</t>
  </si>
  <si>
    <t>易地搬迁安置区后续扶持项目</t>
  </si>
  <si>
    <t>19个安置区（丁河、重阳、西坪等）</t>
  </si>
  <si>
    <t>90升垃圾桶490个；中转垃圾箱25个（3立方）；固定垃圾分类箱71个</t>
  </si>
  <si>
    <t>易地搬迁后续扶持</t>
  </si>
  <si>
    <t>2023.8.16-9.7</t>
  </si>
  <si>
    <t>谢国鹏</t>
  </si>
  <si>
    <t>丁河镇、重阳镇、西坪镇、桑坪镇、军马河镇、米坪镇、双龙镇</t>
  </si>
  <si>
    <t>新建9个车棚386.26平方米，及7个安置社区充电设施</t>
  </si>
  <si>
    <t>2023.8.13-9.4</t>
  </si>
  <si>
    <t>通过提升易地搬迁安置点内水利设施水平，解决安置点所有脱贫户生产生活问题，提高安置点群众生产生活质量，群众对实施效果非常满意</t>
  </si>
  <si>
    <t>通过解决生产生活问题，促进巩固脱贫攻坚与乡村振兴有效衔接，方便群众生产生活</t>
  </si>
  <si>
    <t>安置区红白理事中心、管理服务中心基础设施续建项目（西坪镇）</t>
  </si>
  <si>
    <t>西坪镇</t>
  </si>
  <si>
    <t>续建红白理事中心厨房一间，开间3.3米、进深8.94米，共计29.5平方米，檐高4.0米，钢构彩钢瓦结构。内墙贴2.4米高德300*600瓷砖。管理中心续建房屋一间，开间3.6米，进深6.24米，共计22.46米</t>
  </si>
  <si>
    <t>2023.8.1-9.21</t>
  </si>
  <si>
    <t>易地搬迁安置区污水系统修复项目（石界河镇）</t>
  </si>
  <si>
    <t>石界河镇</t>
  </si>
  <si>
    <t>建设污水管网112米，沉淀池3个，基础处理、砖砌污水池等</t>
  </si>
  <si>
    <t>2023.8.7-8.22</t>
  </si>
  <si>
    <t>石景豪</t>
  </si>
  <si>
    <t>易地搬迁安置区污水系统修复项目（阳城镇）</t>
  </si>
  <si>
    <t>阳城镇</t>
  </si>
  <si>
    <t>污水管网铺设150米，（含切割、开挖、回填、路面恢复），DN300钢带波纹管（胶圈接口）；砼砌污水检查井，三格化粪池10米*3米*3米</t>
  </si>
  <si>
    <t>2023.8.1-8.30</t>
  </si>
  <si>
    <t>赵珂</t>
  </si>
  <si>
    <t>易地搬迁社区产业配套项目（重阳镇）</t>
  </si>
  <si>
    <t>重阳镇</t>
  </si>
  <si>
    <t>空气能烘干机（5HGKK-20-30PA）2台，电烘干机（5HGKDH-T13）2台，及配套设施等</t>
  </si>
  <si>
    <t>2023.11.2-11.7</t>
  </si>
  <si>
    <t>陆立强</t>
  </si>
  <si>
    <t>通过提升易地搬迁安置点内产业基地项目，解决安置点所有脱贫户生产生活问题，有利于农作物灌溉，有利于发展种植和养殖产业，提高安置点群众生产生活质量，群众对实施效果非常满意</t>
  </si>
  <si>
    <t>通过解决产业基地设施水平，促进巩固脱贫攻坚与乡村振兴有效衔接，方便群众生产生活</t>
  </si>
  <si>
    <t>易地搬迁社区产业配套项目（双龙镇）</t>
  </si>
  <si>
    <t>双龙镇
后湖村</t>
  </si>
  <si>
    <t>双孢菇基地拌料场一座，3000平方米，长60米，宽50米，厚18公分</t>
  </si>
  <si>
    <t>辛建国</t>
  </si>
  <si>
    <t>易地搬迁安置区产业基地河堤修复项目（桑坪镇）</t>
  </si>
  <si>
    <t>桑坪镇</t>
  </si>
  <si>
    <t>开挖导流槽长220米，宽5.2米，深2.5米，垒浆砌石坝长52米，高404米，底宽1.6米，顶宽0.7米，垫石方460立方</t>
  </si>
  <si>
    <t>2023.8.16-9.6</t>
  </si>
  <si>
    <t>张永福</t>
  </si>
  <si>
    <t>易地搬迁安置区产业配套项目（太平镇）</t>
  </si>
  <si>
    <t>太平镇
鱼库村</t>
  </si>
  <si>
    <t>道路修复1700平方米，平整路基1700平方米，长425米，宽4米，厚18公分</t>
  </si>
  <si>
    <t>2023.8.10-8.31</t>
  </si>
  <si>
    <t>王珂</t>
  </si>
  <si>
    <t>脱贫人口跨省就业项目</t>
  </si>
  <si>
    <t>2023.6.12--7.6</t>
  </si>
  <si>
    <t>西衔接组（2023）26号</t>
  </si>
  <si>
    <t>通过项目实施，对全县低收入家庭省外务工人员发放一次性交通补贴400元，增加群众务工积极性和满意度。</t>
  </si>
  <si>
    <t>通过项目实施，使全县762人脱贫群众享受人均400一次性省外务工交通补贴，增加务工积极性，减少外出费用。</t>
  </si>
  <si>
    <t>以工代赈项目（双龙镇小集村）</t>
  </si>
  <si>
    <t>双龙镇小集村</t>
  </si>
  <si>
    <t>双龙镇小集村河道水毁修复工程，修建河道护堤675米</t>
  </si>
  <si>
    <t>2023.6.28-8.9</t>
  </si>
  <si>
    <t>豫财农综（2023）8号</t>
  </si>
  <si>
    <t>关于下达2023年中央和省级财政衔接推进乡村振兴补助资金（以工代赈任务）预算的通知</t>
  </si>
  <si>
    <t>欠发达国有林场巩固提升项目（五里桥镇）</t>
  </si>
  <si>
    <t>五里桥镇</t>
  </si>
  <si>
    <r>
      <rPr>
        <sz val="11"/>
        <rFont val="楷体_GB2312"/>
        <charset val="134"/>
      </rPr>
      <t>管护站配套用房配套设施：照明、热水器、卫浴、瓷砖、管道、便池、沉淀池等6套配套设施，打井、无塔水罐、水泵及管道东沟及池水沟院内场地整理及地坪硬化（53.87</t>
    </r>
    <r>
      <rPr>
        <sz val="11"/>
        <rFont val="宋体"/>
        <charset val="134"/>
      </rPr>
      <t>㎡</t>
    </r>
    <r>
      <rPr>
        <sz val="11"/>
        <rFont val="楷体_GB2312"/>
        <charset val="134"/>
      </rPr>
      <t>）：第二中心管护站配套用房建设（卫生间）及打井：便池、沉淀池、管道等配套设施；打井及配套设施程勘察设计、招标代理、工程监理费</t>
    </r>
  </si>
  <si>
    <t>木寨林场</t>
  </si>
  <si>
    <t>黄亚军</t>
  </si>
  <si>
    <t>2023.6--2023.8</t>
  </si>
  <si>
    <t>河南宛工建设工程有限公司西峡分公司 
李炯</t>
  </si>
  <si>
    <t>豫财农综（2023）11号</t>
  </si>
  <si>
    <t>关于下达2023年中央财政衔接推进乡村振兴补助资金（欠发达国有林场巩固提升任务）预算的通知</t>
  </si>
  <si>
    <t>项目实施后，林区基础设施进一步得到完善，解除职工后顾之忧，调动职工干事创业积极性得到提升，从而使林区资源得到有效保护，增加了水源涵养能力，职工对实施效果非常满意</t>
  </si>
  <si>
    <t>改善林区职工生活生产条件，从而调动干部职工的工作积极性，全面提升群众的获得感和满意度</t>
  </si>
  <si>
    <t>安全饮水巩固提升工程（丁河镇瓦房村）</t>
  </si>
  <si>
    <t>丁河镇
瓦房村</t>
  </si>
  <si>
    <t>新建深2.5m,直径3m集水井1眼，铺设管道4613m,控制阀4处，减压阀1处，排气阀2处，入户工程65套，入户管道（DN20）975m</t>
  </si>
  <si>
    <t>2023.07.1-2023.7.30</t>
  </si>
  <si>
    <t>河南兴禹水利水电建筑工程有限公司、李旭洪</t>
  </si>
  <si>
    <t>西衔接组（2023）30号</t>
  </si>
  <si>
    <t>豫财农综（2023）27号</t>
  </si>
  <si>
    <t>关于下达2023年第二批省级财政衔接推进乡村振兴补助资金（巩固拓展脱贫攻坚成果和乡村振兴任务）预算的通知</t>
  </si>
  <si>
    <t>2023年春期雨露计划项目</t>
  </si>
  <si>
    <t>西衔接组（2023）33号</t>
  </si>
  <si>
    <t>农村村组道路硬化项目（丁河镇宣沟村村部门口硬化）</t>
  </si>
  <si>
    <r>
      <rPr>
        <sz val="11"/>
        <rFont val="楷体_GB2312"/>
        <charset val="134"/>
      </rPr>
      <t>村部门口：1.硬化一条长294米，1800</t>
    </r>
    <r>
      <rPr>
        <sz val="11"/>
        <rFont val="宋体"/>
        <charset val="134"/>
      </rPr>
      <t>㎡</t>
    </r>
    <r>
      <rPr>
        <sz val="11"/>
        <rFont val="楷体_GB2312"/>
        <charset val="134"/>
      </rPr>
      <t>，厚0.18米，路面为C25砼水泥的混凝土路面；2.每隔5米割一条伸缩缝。</t>
    </r>
  </si>
  <si>
    <t>2023.6.27--7.6</t>
  </si>
  <si>
    <t>河南淅西建设工程有限公司西峡分公司 郑杰</t>
  </si>
  <si>
    <t>农村村组道路硬化项目（石界河镇小寨村）</t>
  </si>
  <si>
    <t>石界河镇
小寨村</t>
  </si>
  <si>
    <r>
      <rPr>
        <sz val="11"/>
        <rFont val="楷体_GB2312"/>
        <charset val="134"/>
      </rPr>
      <t>入组道路硬化1702</t>
    </r>
    <r>
      <rPr>
        <sz val="11"/>
        <rFont val="宋体"/>
        <charset val="134"/>
      </rPr>
      <t>㎡</t>
    </r>
  </si>
  <si>
    <t>2023.6.27--7.16</t>
  </si>
  <si>
    <t>河南容达建设工程有限公司西峡分公司 石景豪</t>
  </si>
  <si>
    <t>2023年扶贫发展牛产业项目（阳城镇田营村牛棚建设工程）</t>
  </si>
  <si>
    <t>阳城镇
田营村</t>
  </si>
  <si>
    <r>
      <rPr>
        <sz val="11"/>
        <rFont val="楷体_GB2312"/>
        <charset val="134"/>
      </rPr>
      <t>建设内容：牛棚542</t>
    </r>
    <r>
      <rPr>
        <sz val="11"/>
        <rFont val="宋体"/>
        <charset val="134"/>
      </rPr>
      <t>㎡</t>
    </r>
    <r>
      <rPr>
        <sz val="11"/>
        <rFont val="楷体_GB2312"/>
        <charset val="134"/>
      </rPr>
      <t>、管护房15.75</t>
    </r>
    <r>
      <rPr>
        <sz val="11"/>
        <rFont val="宋体"/>
        <charset val="134"/>
      </rPr>
      <t>㎡</t>
    </r>
  </si>
  <si>
    <t>2023.9.9-2023.9.10</t>
  </si>
  <si>
    <t>南阳阳鸣牧业有限公司</t>
  </si>
  <si>
    <t>西衔接组（2023）40号</t>
  </si>
  <si>
    <t>2023年扶贫发展牛产业项目（回车镇回车堂村牛棚建设工程）</t>
  </si>
  <si>
    <t>回车镇
回车堂村</t>
  </si>
  <si>
    <r>
      <rPr>
        <sz val="11"/>
        <rFont val="楷体_GB2312"/>
        <charset val="134"/>
      </rPr>
      <t>建设内容：牛棚2380</t>
    </r>
    <r>
      <rPr>
        <sz val="11"/>
        <rFont val="宋体"/>
        <charset val="134"/>
      </rPr>
      <t>㎡</t>
    </r>
    <r>
      <rPr>
        <sz val="11"/>
        <rFont val="楷体_GB2312"/>
        <charset val="134"/>
      </rPr>
      <t>、草料棚650</t>
    </r>
    <r>
      <rPr>
        <sz val="11"/>
        <rFont val="宋体"/>
        <charset val="134"/>
      </rPr>
      <t>㎡</t>
    </r>
    <r>
      <rPr>
        <sz val="11"/>
        <rFont val="楷体_GB2312"/>
        <charset val="134"/>
      </rPr>
      <t>、牛粪晾晒场1560</t>
    </r>
    <r>
      <rPr>
        <sz val="11"/>
        <rFont val="宋体"/>
        <charset val="134"/>
      </rPr>
      <t>㎡</t>
    </r>
    <r>
      <rPr>
        <sz val="11"/>
        <rFont val="楷体_GB2312"/>
        <charset val="134"/>
      </rPr>
      <t>、管护房120</t>
    </r>
    <r>
      <rPr>
        <sz val="11"/>
        <rFont val="宋体"/>
        <charset val="134"/>
      </rPr>
      <t>㎡</t>
    </r>
    <r>
      <rPr>
        <sz val="11"/>
        <rFont val="楷体_GB2312"/>
        <charset val="134"/>
      </rPr>
      <t>等</t>
    </r>
  </si>
  <si>
    <t>2023.9.3-2023.9.21</t>
  </si>
  <si>
    <t>南阳仁山实业有限公司</t>
  </si>
  <si>
    <r>
      <rPr>
        <sz val="11"/>
        <rFont val="楷体_GB2312"/>
        <charset val="134"/>
      </rPr>
      <t>2023年扶贫发展牛产业项目（丹水镇马边村</t>
    </r>
    <r>
      <rPr>
        <sz val="11"/>
        <rFont val="宋体"/>
        <charset val="134"/>
      </rPr>
      <t>犇</t>
    </r>
    <r>
      <rPr>
        <sz val="11"/>
        <rFont val="楷体_GB2312"/>
        <charset val="134"/>
      </rPr>
      <t>源养殖场项目工程）</t>
    </r>
  </si>
  <si>
    <t>丹水镇
马边村</t>
  </si>
  <si>
    <r>
      <rPr>
        <sz val="11"/>
        <rFont val="楷体_GB2312"/>
        <charset val="134"/>
      </rPr>
      <t>建设内容：牛棚412</t>
    </r>
    <r>
      <rPr>
        <sz val="11"/>
        <rFont val="宋体"/>
        <charset val="134"/>
      </rPr>
      <t>㎡</t>
    </r>
    <r>
      <rPr>
        <sz val="11"/>
        <rFont val="楷体_GB2312"/>
        <charset val="134"/>
      </rPr>
      <t>、配套冷库120</t>
    </r>
    <r>
      <rPr>
        <sz val="11"/>
        <rFont val="宋体"/>
        <charset val="134"/>
      </rPr>
      <t>㎡</t>
    </r>
    <r>
      <rPr>
        <sz val="11"/>
        <rFont val="楷体_GB2312"/>
        <charset val="134"/>
      </rPr>
      <t>、晾晒场1650</t>
    </r>
    <r>
      <rPr>
        <sz val="11"/>
        <rFont val="宋体"/>
        <charset val="134"/>
      </rPr>
      <t>㎡</t>
    </r>
    <r>
      <rPr>
        <sz val="11"/>
        <rFont val="楷体_GB2312"/>
        <charset val="134"/>
      </rPr>
      <t>、机械设备等</t>
    </r>
  </si>
  <si>
    <t>2023.9.3-2023.9.15</t>
  </si>
  <si>
    <t>豫财农综（2023）27号宛财预（2023）492号</t>
  </si>
  <si>
    <t>关于下达2023年第二批省级财政衔接推进乡村振兴补助资金（巩固拓展脱贫攻坚成果和乡村振兴任务）预算的通知关于下达2023年市级财政衔接推进乡村振兴补助资金（巩固脱贫攻坚成果和乡村振兴任务）的通知</t>
  </si>
  <si>
    <t>2023年扶贫发展牛产业项目（西峡县萱栩养殖场项目）</t>
  </si>
  <si>
    <t>回车镇
吴岗村</t>
  </si>
  <si>
    <r>
      <rPr>
        <sz val="11"/>
        <rFont val="楷体_GB2312"/>
        <charset val="134"/>
      </rPr>
      <t>牛棚2030</t>
    </r>
    <r>
      <rPr>
        <sz val="11"/>
        <rFont val="宋体"/>
        <charset val="134"/>
      </rPr>
      <t>㎡</t>
    </r>
    <r>
      <rPr>
        <sz val="11"/>
        <rFont val="楷体_GB2312"/>
        <charset val="134"/>
      </rPr>
      <t>、草料棚200</t>
    </r>
    <r>
      <rPr>
        <sz val="11"/>
        <rFont val="宋体"/>
        <charset val="134"/>
      </rPr>
      <t>㎡</t>
    </r>
    <r>
      <rPr>
        <sz val="11"/>
        <rFont val="楷体_GB2312"/>
        <charset val="134"/>
      </rPr>
      <t>、粪污处理池672</t>
    </r>
    <r>
      <rPr>
        <sz val="11"/>
        <rFont val="宋体"/>
        <charset val="134"/>
      </rPr>
      <t>㎡</t>
    </r>
    <r>
      <rPr>
        <sz val="11"/>
        <rFont val="楷体_GB2312"/>
        <charset val="134"/>
      </rPr>
      <t>、管户房72</t>
    </r>
    <r>
      <rPr>
        <sz val="11"/>
        <rFont val="宋体"/>
        <charset val="134"/>
      </rPr>
      <t>㎡</t>
    </r>
    <r>
      <rPr>
        <sz val="11"/>
        <rFont val="楷体_GB2312"/>
        <charset val="134"/>
      </rPr>
      <t>、机械设备等</t>
    </r>
  </si>
  <si>
    <t>宛财预（2023）492号</t>
  </si>
  <si>
    <t>关于下达2023年市级财政衔接推进乡村振兴补助资金（巩固脱贫攻坚成果和乡村振兴任务）的通知</t>
  </si>
  <si>
    <t>2023年扶贫发展牛产业项目（西峡县贺文养殖家庭农场项目）</t>
  </si>
  <si>
    <t>重阳镇
云台村</t>
  </si>
  <si>
    <r>
      <rPr>
        <sz val="11"/>
        <rFont val="楷体_GB2312"/>
        <charset val="134"/>
      </rPr>
      <t>牛棚1032</t>
    </r>
    <r>
      <rPr>
        <sz val="11"/>
        <rFont val="宋体"/>
        <charset val="134"/>
      </rPr>
      <t>㎡</t>
    </r>
    <r>
      <rPr>
        <sz val="11"/>
        <rFont val="楷体_GB2312"/>
        <charset val="134"/>
      </rPr>
      <t>、草料仓库228</t>
    </r>
    <r>
      <rPr>
        <sz val="11"/>
        <rFont val="宋体"/>
        <charset val="134"/>
      </rPr>
      <t>㎡</t>
    </r>
    <r>
      <rPr>
        <sz val="11"/>
        <rFont val="楷体_GB2312"/>
        <charset val="134"/>
      </rPr>
      <t>、晾晒场782</t>
    </r>
    <r>
      <rPr>
        <sz val="11"/>
        <rFont val="宋体"/>
        <charset val="134"/>
      </rPr>
      <t>㎡</t>
    </r>
    <r>
      <rPr>
        <sz val="11"/>
        <rFont val="楷体_GB2312"/>
        <charset val="134"/>
      </rPr>
      <t>、机械设备等</t>
    </r>
  </si>
  <si>
    <t>2023.9.2-2023.9.21</t>
  </si>
  <si>
    <t>河南弘丰路桥工程有限公司西峡第二分公司</t>
  </si>
  <si>
    <t>2023年扶贫发展牛产业项目（西峡县牧兴养殖专业合作社项目）</t>
  </si>
  <si>
    <t>重阳镇
五朵村</t>
  </si>
  <si>
    <r>
      <rPr>
        <sz val="11"/>
        <rFont val="楷体_GB2312"/>
        <charset val="134"/>
      </rPr>
      <t>牛棚306</t>
    </r>
    <r>
      <rPr>
        <sz val="11"/>
        <rFont val="宋体"/>
        <charset val="134"/>
      </rPr>
      <t>㎡</t>
    </r>
    <r>
      <rPr>
        <sz val="11"/>
        <rFont val="楷体_GB2312"/>
        <charset val="134"/>
      </rPr>
      <t>、草料仓库320</t>
    </r>
    <r>
      <rPr>
        <sz val="11"/>
        <rFont val="宋体"/>
        <charset val="134"/>
      </rPr>
      <t>㎡</t>
    </r>
    <r>
      <rPr>
        <sz val="11"/>
        <rFont val="楷体_GB2312"/>
        <charset val="134"/>
      </rPr>
      <t>、晾晒场20</t>
    </r>
    <r>
      <rPr>
        <sz val="11"/>
        <rFont val="宋体"/>
        <charset val="134"/>
      </rPr>
      <t>㎡</t>
    </r>
    <r>
      <rPr>
        <sz val="11"/>
        <rFont val="楷体_GB2312"/>
        <charset val="134"/>
      </rPr>
      <t>、机械设备等</t>
    </r>
  </si>
  <si>
    <t>西峡县仲景宛西制药股份有限公司中药配方颗粒国标研究及产业化项目</t>
  </si>
  <si>
    <t>仲景宛西制药股份有限公司</t>
  </si>
  <si>
    <t>主要包括购置热风循环烘箱、带式干燥机、喷雾干燥机、混合机、卧式提取装置、中药调剂等设备31台（套）及建设提取车间等配套附属设施，对中药配方颗粒生产线进行技术升级改造，形成年产300吨优质中药配方颗粒生产能力</t>
  </si>
  <si>
    <t>仲景宛西制药</t>
  </si>
  <si>
    <t>西衔接组（2023〕22号</t>
  </si>
  <si>
    <t>宛财预（2023）492号豫财农综【2022】7号、29号、35号、宛财预499号、255号、西财预31号</t>
  </si>
  <si>
    <t>西峡县丹水镇朝阳村同心农游一体观光采摘园项目配套灌溉一体化工程</t>
  </si>
  <si>
    <t>（1）配套3个直径3米、长度10米的储水罐；（2）库区扩容工程；（3）库区安全防护设施；（4）900米塑管管道安装工程。</t>
  </si>
  <si>
    <t>2023.10.20—2023.11.30</t>
  </si>
  <si>
    <t>西衔接组（2023〕54号</t>
  </si>
  <si>
    <t>宛财预（2023）493号</t>
  </si>
  <si>
    <t>关于下达2023年市级财政衔接推进乡村振兴补助资金（少数民族发展任务）的通知</t>
  </si>
  <si>
    <t>欠发达国有林场巩固提升项目（石界河镇黑烟镇林场）</t>
  </si>
  <si>
    <t>石界河镇
杨盘村</t>
  </si>
  <si>
    <t>杨盘保护站潭上至五里沟林区内年久失修及水毁路面硬化合计5700平方米，浆砌毛石挡墙100米</t>
  </si>
  <si>
    <t>黑烟镇林场</t>
  </si>
  <si>
    <t>李平章</t>
  </si>
  <si>
    <t>2023年10月-2023年12月</t>
  </si>
  <si>
    <t>河南弘丰路桥工程有限公司、负责人王红</t>
  </si>
  <si>
    <t>西衔接组〔2023〕53号</t>
  </si>
  <si>
    <t>宛财预（2023）494号</t>
  </si>
  <si>
    <t>关于下达2023年市级财政衔接推进乡村振兴补助资金（欠发达国有林场提升任务）的通知</t>
  </si>
  <si>
    <t>目标1：完成林区道路基础设施提升1900米
目标2：提高改善林区一线护林员生产条件，提高林区资源管护能力，方便林区群众，提升职工、群众满意度</t>
  </si>
  <si>
    <t>解决了杨盘村项目所在地24户80余名群众的出行难问题，方便林区群众通过此道路运输经济林产生的经济作物，产生每年每人约万元的经济价值。</t>
  </si>
  <si>
    <t>欠发达国有林场巩固提升项目（木寨林场）</t>
  </si>
  <si>
    <t>丁河镇上店村东沟管护房危房拆除重建、丁河镇东岗村赶鸡沟林区道路修建硬化。</t>
  </si>
  <si>
    <t>2023.11.25--2023.12.25</t>
  </si>
  <si>
    <t>河南双楼建筑工程有限公司西峡分公司 薛灵华</t>
  </si>
  <si>
    <t>西衔接组〔2023〕54号</t>
  </si>
  <si>
    <t>农村村组道路建设项目（五里桥镇封湾红草沟村）</t>
  </si>
  <si>
    <t>五里桥镇封湾红草沟村</t>
  </si>
  <si>
    <t>道路硬化2.6公里、4-5.5米宽、4公分沥青路面</t>
  </si>
  <si>
    <t>宛财预（2023）499号</t>
  </si>
  <si>
    <t>关于下达2023年市级第三批财政衔接推进乡村振兴补助资金（四好公路）的通知</t>
  </si>
  <si>
    <t>农村村组道路建设项目（丁河镇宣沟村六组坑塘中间路硬化）</t>
  </si>
  <si>
    <t>丁河镇宣沟村六组</t>
  </si>
  <si>
    <t>坑塘中间道路硬化长540米、宽5米、厚20公分</t>
  </si>
  <si>
    <t>2023.9.13--23</t>
  </si>
  <si>
    <t>西衔接组〔2023〕41号</t>
  </si>
  <si>
    <t>农村村组道路建设项目（西坪镇西官庄村）</t>
  </si>
  <si>
    <t>村主干道路修复，铺设3.5厘米细沙沥青混凝土路面</t>
  </si>
  <si>
    <t>2023.11.1--5</t>
  </si>
  <si>
    <t>南阳恒鑫建设工程有限公司西峡一分公司 闫静</t>
  </si>
  <si>
    <t>西坪镇西官庄村猕猴桃基地产业路修复项目</t>
  </si>
  <si>
    <t>1、西坪镇西官庄村猕猴桃基地产业道路清理、喷油、铺3.5里面厚沥青混凝土路面；2、基地中间生产路、基底处理、水泥硬化18厘米+铺3.5厘米厚沥青混凝土路面</t>
  </si>
  <si>
    <t>2023.10.1--30</t>
  </si>
  <si>
    <t>西衔接组〔2023〕43号</t>
  </si>
  <si>
    <t>豫财农综（2023）7号、9号、27号、29号、35号</t>
  </si>
  <si>
    <t>回车镇八龙庙村、黑虎庙村、黄湾村</t>
  </si>
  <si>
    <t>回车镇八龙庙村、黑虎庙村、黄湾村猕猴桃基地断带补齐</t>
  </si>
  <si>
    <t>2023.10-2023.11</t>
  </si>
  <si>
    <t>南阳双河农产品有限公司 朱贝</t>
  </si>
  <si>
    <t>西衔接组〔2023〕56号</t>
  </si>
  <si>
    <t>菌办项目7号结余资金（省级17.1273）</t>
  </si>
  <si>
    <t>带动八龙庙村黑虎庙村黄湾村18户脱贫户200户群众受益，增加群众种植业收入，预计第四年挂果后每亩年均纯收益约5000元</t>
  </si>
  <si>
    <t>丁河镇凤山村猕猴桃基地断带补齐项目</t>
  </si>
  <si>
    <t>丁河镇凤山村</t>
  </si>
  <si>
    <t>丁河镇凤山村42亩猕猴桃基地断带补齐</t>
  </si>
  <si>
    <t>菌办项目7号结余资金（省级17.1273）（中央3.1822）</t>
  </si>
  <si>
    <t>带动凤山村5户脱贫户30余户群众受益，增加群众种植业收入，同时可吸收农村剩余劳动力在本地就业。预计第四年挂果后每亩年均纯收益约5000元</t>
  </si>
  <si>
    <t>小额信贷贴息</t>
  </si>
  <si>
    <t>对2023年12月中旬前已经还本付息的脱贫人口小额信贷予以全额贴息。对2023年1733户脱贫人口小额信贷贴息</t>
  </si>
  <si>
    <t>2022.12-2023.12</t>
  </si>
  <si>
    <t>西衔接组〔2023〕69号</t>
  </si>
  <si>
    <t>西财预【2023】71号</t>
  </si>
  <si>
    <t>菌办结余资金重新安排 桃办结余资金重新安排  药办结余资金重新安排</t>
  </si>
  <si>
    <t>支持符合银行信贷条件的1733户脱贫户（含监测对象）使用扶贫小额贷款自主或抱团发展产业，激发脱贫户（含监测对象）发展内生动力。</t>
  </si>
  <si>
    <t>为脱贫户和监测对象发放脱贫人口小额信贷支持其发展自身产业。</t>
  </si>
  <si>
    <t>西坪镇黑漆河村人居环境整治</t>
  </si>
  <si>
    <t>西坪镇黑漆河村</t>
  </si>
  <si>
    <r>
      <rPr>
        <sz val="11"/>
        <rFont val="楷体_GB2312"/>
        <charset val="134"/>
      </rPr>
      <t>5m</t>
    </r>
    <r>
      <rPr>
        <sz val="11"/>
        <rFont val="宋体"/>
        <charset val="134"/>
      </rPr>
      <t>³</t>
    </r>
    <r>
      <rPr>
        <sz val="11"/>
        <rFont val="楷体_GB2312"/>
        <charset val="134"/>
      </rPr>
      <t>勾臂铁皮垃圾箱5个、新能源路灯20盏、240L（带轱辘）塑料垃圾桶600个</t>
    </r>
  </si>
  <si>
    <t>2023.9.20-9.27</t>
  </si>
  <si>
    <t>南阳双郎商贸有限公司 
夏海华</t>
  </si>
  <si>
    <t>西衔接组〔2023〕30号</t>
  </si>
  <si>
    <t>西财预【2023】31号</t>
  </si>
  <si>
    <t>农业局项目结余资金重新安排
关于下达2023年县级财政第一批衔接推进乡村振兴补助资金的通知</t>
  </si>
  <si>
    <t>米坪镇大庄村中药材基地道路硬化</t>
  </si>
  <si>
    <t>米坪镇大庄村</t>
  </si>
  <si>
    <t>750米长*3米宽、400米长*2米宽，共计3050平方米，厚0.18米，c25混凝土道路。</t>
  </si>
  <si>
    <t>2023.11.8-11.30</t>
  </si>
  <si>
    <t>河南兴禹水利水电建筑工程有限公司淅川分公司 解燕飞</t>
  </si>
  <si>
    <t>西财预【2023】31号 西财预【2023】71号 豫财农综【2023】7号</t>
  </si>
  <si>
    <t>桃办结余资金重新安排 药办结余资金重新安排 关于下达2023年县级财政第一批衔接推进乡村振兴补助资金的通知 水利局31号文项目结余资金 乡村振兴局龙头企业就业补贴项目结余资金重新安排 菌办7号结余资金重新安排</t>
  </si>
  <si>
    <t>田关镇田关村猕猴桃基地产业路道路硬化</t>
  </si>
  <si>
    <t>共计980平方米，厚0.18米，c25混凝土道路。</t>
  </si>
  <si>
    <t>2023.11.15--11.25</t>
  </si>
  <si>
    <t>西峡县德悦建筑工程有限公司</t>
  </si>
  <si>
    <t>电商促进消费帮扶奖补项目</t>
  </si>
  <si>
    <t>利用电商渠道销售《西峡县电商 消费帮扶产品名录》中所有产品的电商市场主体，确定年销售本地消费帮扶产品总额在5600万元以上的，根据销售帮扶产品总额，分别给予 10 万元、8 万元、6 万元奖励；对确定年销售本地消费帮扶产品总 额在500万以下的小微电商企业、电商服务站、个体网商，根 据销售帮扶产品总额，分别给予2万元、1万元、8000 元、5000 元奖励；对快递企业年度揽收总量超过 300 万单、200 万单、100 万单、60 万单的，分别给与 10 万元、6 万元、3 万 元、2 万元的一次性奖励。</t>
  </si>
  <si>
    <t>2023.1--2023.12</t>
  </si>
  <si>
    <t>西衔接组〔2023〕70号</t>
  </si>
  <si>
    <t xml:space="preserve">农业局项目结余资金重新安排 关于下达2023年县级财政第一批衔接推进乡村振兴补助资金的通知 乡村振兴局外出务工交通补贴、实用技术培训、人居环境整治结余 </t>
  </si>
  <si>
    <t>鼓励电商市场主体积极 参与县域主导农产品和脱贫村、脱贫户产品的订单收购、电商 销售、产销对接等消费帮扶工作。使衔接资金由原来的重点扶 持产业发展向加工、销售、服务等环节延伸，实现“产销服” 联动，三产融合发展，构建消费帮扶新体系，以“卖的好”倒 逼“种得好”。有效推动脱贫地区联农产业提质发展，带贫企 业扩容增效，带动脱贫村、脱贫户就业增收。</t>
  </si>
  <si>
    <t>围绕西峡食用菌、猕猴桃、 中药材、中华蜂等地方特色产业，探索建立“电商平台+电商企 业+生产企业（专业合作社）+农户（脱贫户）”的利益联结机 制，创新开展线上线下融合的消费帮扶模式，培育特色产业， 培优特色产品，拓宽销售渠道。</t>
  </si>
  <si>
    <t>项目管理费（乡村振兴局）</t>
  </si>
  <si>
    <t>用于2023年财政衔接推进乡村振兴补助资金项目的前期设计、评审、招标、监理、项目评估、验收、项目资料印刷及项目绩效管理等开支</t>
  </si>
  <si>
    <t>项目管理费</t>
  </si>
  <si>
    <t>豫财农综【2022】35号 豫财农综【2023】7号 宛财预【2023】254号 宛财预【2023】255号 宛财预【2023】492号 宛财预【2023】493号 宛财预【2023】494号 宛财预【2023】499号 西财预【2023】31号</t>
  </si>
  <si>
    <t>关于提前下达2023年财政衔接推进乡村振兴补助资金（巩固脱贫攻坚成果与乡村振兴任务）的通知  关于下达2023年中央和省级财政衔接推进乡村振兴补助资金（巩固拓展脱贫攻坚成果和乡村振兴任务）预算的通知  关于下达2023年市级财政衔接推进乡村振兴补助资金的通知  关于下达2023年县级财政第一批衔接推进乡村振兴补助资金的通知 关于下达2023年市级财政衔接推进乡村振兴补助资金（以工代赈任务）的通知</t>
  </si>
  <si>
    <t>项目管理费（项目管理费28万调整）</t>
  </si>
  <si>
    <t>项目管理费（水利项目结余资金）</t>
  </si>
  <si>
    <t>西财预（2023）31号 豫财农综（2023）27号</t>
  </si>
  <si>
    <t>关于下达关于下达2023年县级财政第一批衔接推进乡村振兴补助资金的通知  关于下达2023年第二批省级财政衔接推进乡村振兴补助资金（巩固拓展脱贫攻坚成果和乡村振兴任务）预算的通知</t>
  </si>
  <si>
    <t>项目管理费（发改项目结余资金）</t>
  </si>
  <si>
    <t>豫财农综（2023）7号西财预（2023）31号</t>
  </si>
  <si>
    <t>关于下达2023年中央和省级财政衔接推进乡村振兴补助资金（巩固拓展脱贫攻坚成果和乡村振兴任务）预算的通知  关于下达关于下达2023年县级财政第一批衔接推进乡村振兴补助资金的通知</t>
  </si>
  <si>
    <t>项目管理费（黑烟镇林场）</t>
  </si>
  <si>
    <t>关于下达2023年县级财政第一批衔接推进乡村振兴补助资金的通知</t>
  </si>
  <si>
    <t>项目管理费（交通局）</t>
  </si>
  <si>
    <t>项目管理费（民宗局）</t>
  </si>
  <si>
    <t>项目管理费（桃办）</t>
  </si>
  <si>
    <t>项目管理费（木寨林场）</t>
  </si>
  <si>
    <t xml:space="preserve">扩大充实村集体经济，通过差异化分配， 带动低收入户脱贫致富，增加农户收入，可吸收农村剩余劳动力在本地就业，群众对项目实施效果非常满意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</si>
</sst>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0">
    <font>
      <sz val="11"/>
      <color theme="1"/>
      <name val="宋体"/>
      <charset val="134"/>
      <scheme val="minor"/>
    </font>
    <font>
      <sz val="12"/>
      <color theme="1"/>
      <name val="宋体"/>
      <charset val="134"/>
      <scheme val="minor"/>
    </font>
    <font>
      <b/>
      <sz val="11"/>
      <color theme="1"/>
      <name val="宋体"/>
      <charset val="134"/>
      <scheme val="major"/>
    </font>
    <font>
      <b/>
      <sz val="11"/>
      <color theme="1"/>
      <name val="楷体_GB2312"/>
      <charset val="134"/>
    </font>
    <font>
      <sz val="11"/>
      <name val="楷体_GB2312"/>
      <charset val="134"/>
    </font>
    <font>
      <sz val="11"/>
      <color theme="1"/>
      <name val="楷体_GB2312"/>
      <charset val="134"/>
    </font>
    <font>
      <sz val="10"/>
      <color theme="1"/>
      <name val="仿宋"/>
      <charset val="134"/>
    </font>
    <font>
      <sz val="10"/>
      <name val="仿宋"/>
      <charset val="134"/>
    </font>
    <font>
      <b/>
      <sz val="36"/>
      <name val="方正小标宋简体"/>
      <charset val="134"/>
    </font>
    <font>
      <b/>
      <sz val="10"/>
      <name val="仿宋"/>
      <charset val="134"/>
    </font>
    <font>
      <b/>
      <sz val="11"/>
      <name val="楷体_GB2312"/>
      <charset val="134"/>
    </font>
    <font>
      <b/>
      <sz val="10"/>
      <name val="楷体_GB2312"/>
      <charset val="134"/>
    </font>
    <font>
      <sz val="10"/>
      <name val="宋体"/>
      <charset val="134"/>
      <scheme val="minor"/>
    </font>
    <font>
      <b/>
      <sz val="12"/>
      <name val="楷体_GB2312"/>
      <charset val="134"/>
    </font>
    <font>
      <sz val="10"/>
      <name val="楷体_GB2312"/>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name val="宋体"/>
      <charset val="134"/>
    </font>
    <font>
      <b/>
      <sz val="9"/>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5" borderId="9" applyNumberFormat="0" applyAlignment="0" applyProtection="0">
      <alignment vertical="center"/>
    </xf>
    <xf numFmtId="0" fontId="25" fillId="6" borderId="10" applyNumberFormat="0" applyAlignment="0" applyProtection="0">
      <alignment vertical="center"/>
    </xf>
    <xf numFmtId="0" fontId="26" fillId="6" borderId="9" applyNumberFormat="0" applyAlignment="0" applyProtection="0">
      <alignment vertical="center"/>
    </xf>
    <xf numFmtId="0" fontId="27" fillId="7"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xf numFmtId="0" fontId="36" fillId="0" borderId="0"/>
    <xf numFmtId="0" fontId="0" fillId="0" borderId="0">
      <alignment vertical="center"/>
    </xf>
    <xf numFmtId="0" fontId="0" fillId="0" borderId="0">
      <alignment vertical="center"/>
    </xf>
    <xf numFmtId="0" fontId="36" fillId="0" borderId="0">
      <alignment vertical="center"/>
    </xf>
    <xf numFmtId="0" fontId="36" fillId="0" borderId="0">
      <alignment vertical="center"/>
    </xf>
    <xf numFmtId="0" fontId="0" fillId="0" borderId="0">
      <alignment vertical="center"/>
    </xf>
    <xf numFmtId="0" fontId="0" fillId="0" borderId="0">
      <alignment vertical="center"/>
    </xf>
    <xf numFmtId="0" fontId="0" fillId="0" borderId="0">
      <alignment vertical="center"/>
    </xf>
    <xf numFmtId="0" fontId="36" fillId="0" borderId="0">
      <alignment vertical="center"/>
    </xf>
    <xf numFmtId="0" fontId="0" fillId="0" borderId="0">
      <alignment vertical="center"/>
    </xf>
    <xf numFmtId="0" fontId="0" fillId="0" borderId="0">
      <alignment vertical="center"/>
    </xf>
  </cellStyleXfs>
  <cellXfs count="48">
    <xf numFmtId="0" fontId="0" fillId="0" borderId="0" xfId="0">
      <alignment vertical="center"/>
    </xf>
    <xf numFmtId="0" fontId="1" fillId="0" borderId="0" xfId="0" applyFont="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Alignment="1">
      <alignment horizontal="center" vertical="center" wrapText="1"/>
    </xf>
    <xf numFmtId="176" fontId="6" fillId="0" borderId="0" xfId="0" applyNumberFormat="1" applyFont="1" applyAlignment="1">
      <alignment horizontal="center" vertical="center" wrapText="1"/>
    </xf>
    <xf numFmtId="176" fontId="7" fillId="0" borderId="0" xfId="0" applyNumberFormat="1" applyFont="1" applyAlignment="1">
      <alignment horizontal="center" vertical="center" wrapText="1"/>
    </xf>
    <xf numFmtId="0" fontId="0" fillId="0" borderId="0" xfId="0" applyAlignment="1">
      <alignment horizontal="center" vertical="center" wrapText="1"/>
    </xf>
    <xf numFmtId="0" fontId="8" fillId="0" borderId="0" xfId="0" applyFont="1" applyFill="1" applyAlignment="1">
      <alignment horizontal="center" vertical="center" wrapText="1"/>
    </xf>
    <xf numFmtId="176" fontId="8" fillId="0" borderId="0" xfId="0" applyNumberFormat="1" applyFont="1" applyFill="1" applyAlignment="1">
      <alignment horizontal="center" vertical="center" wrapText="1"/>
    </xf>
    <xf numFmtId="0" fontId="9" fillId="0" borderId="0" xfId="0" applyFont="1" applyFill="1" applyAlignment="1">
      <alignment horizontal="center" vertical="center" wrapText="1"/>
    </xf>
    <xf numFmtId="176" fontId="9" fillId="0" borderId="0" xfId="0" applyNumberFormat="1" applyFont="1" applyFill="1" applyAlignment="1">
      <alignment horizontal="center" vertical="center" wrapText="1"/>
    </xf>
    <xf numFmtId="0" fontId="10"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56" applyFont="1" applyFill="1" applyBorder="1" applyAlignment="1">
      <alignment horizontal="center" vertical="center" wrapText="1"/>
    </xf>
    <xf numFmtId="176" fontId="12" fillId="0" borderId="1" xfId="55" applyNumberFormat="1" applyFont="1" applyFill="1" applyBorder="1" applyAlignment="1">
      <alignment horizontal="center" vertical="center" shrinkToFit="1"/>
    </xf>
    <xf numFmtId="176" fontId="4" fillId="0" borderId="1" xfId="55" applyNumberFormat="1" applyFont="1" applyFill="1" applyBorder="1" applyAlignment="1">
      <alignment horizontal="center" vertical="center" shrinkToFit="1"/>
    </xf>
    <xf numFmtId="177" fontId="4" fillId="0" borderId="1" xfId="56"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6" fontId="12"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2" fillId="0" borderId="1" xfId="0" applyNumberFormat="1" applyFont="1" applyBorder="1" applyAlignment="1">
      <alignment horizontal="center" vertical="center" wrapText="1"/>
    </xf>
    <xf numFmtId="176" fontId="12" fillId="2" borderId="1" xfId="55" applyNumberFormat="1" applyFont="1" applyFill="1" applyBorder="1" applyAlignment="1">
      <alignment horizontal="center" vertical="center" shrinkToFit="1"/>
    </xf>
    <xf numFmtId="0" fontId="13" fillId="0" borderId="1" xfId="0" applyFont="1" applyFill="1" applyBorder="1" applyAlignment="1">
      <alignment horizontal="center" vertical="center" wrapText="1"/>
    </xf>
    <xf numFmtId="177" fontId="4" fillId="0" borderId="2" xfId="56" applyNumberFormat="1" applyFont="1" applyFill="1" applyBorder="1" applyAlignment="1">
      <alignment horizontal="center" vertical="center" wrapText="1"/>
    </xf>
    <xf numFmtId="0" fontId="4" fillId="0" borderId="1" xfId="52" applyFont="1" applyFill="1" applyBorder="1" applyAlignment="1">
      <alignment horizontal="center" vertical="center" wrapText="1"/>
    </xf>
    <xf numFmtId="177" fontId="4" fillId="3" borderId="1" xfId="56" applyNumberFormat="1" applyFont="1" applyFill="1" applyBorder="1" applyAlignment="1">
      <alignment horizontal="center" vertical="center" wrapText="1"/>
    </xf>
    <xf numFmtId="177" fontId="4" fillId="0" borderId="1" xfId="56" applyNumberFormat="1" applyFont="1" applyFill="1" applyBorder="1" applyAlignment="1">
      <alignment horizontal="justify" vertical="center" wrapText="1"/>
    </xf>
    <xf numFmtId="176" fontId="4" fillId="0" borderId="1" xfId="56"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176" fontId="14" fillId="0" borderId="1" xfId="55" applyNumberFormat="1" applyFont="1" applyFill="1" applyBorder="1" applyAlignment="1">
      <alignment horizontal="center" vertical="center" shrinkToFit="1"/>
    </xf>
    <xf numFmtId="176" fontId="12" fillId="0" borderId="1" xfId="56" applyNumberFormat="1" applyFont="1" applyFill="1" applyBorder="1" applyAlignment="1">
      <alignment horizontal="center" vertical="center"/>
    </xf>
    <xf numFmtId="176" fontId="4" fillId="0" borderId="1" xfId="56"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2" fillId="2" borderId="1" xfId="56"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10" xfId="49"/>
    <cellStyle name="常规 12" xfId="50"/>
    <cellStyle name="常规 10 5" xfId="51"/>
    <cellStyle name="常规 11 5" xfId="52"/>
    <cellStyle name="常规 2 2 2 3" xfId="53"/>
    <cellStyle name="常规 2 2" xfId="54"/>
    <cellStyle name="常规 10" xfId="55"/>
    <cellStyle name="常规 2" xfId="56"/>
    <cellStyle name="常规 3" xfId="57"/>
    <cellStyle name="常规 4" xfId="58"/>
    <cellStyle name="常规 5" xfId="59"/>
    <cellStyle name="常规 11 6" xfId="60"/>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64"/>
  <sheetViews>
    <sheetView tabSelected="1" zoomScale="80" zoomScaleNormal="80" workbookViewId="0">
      <pane ySplit="6" topLeftCell="A7" activePane="bottomLeft" state="frozen"/>
      <selection/>
      <selection pane="bottomLeft" activeCell="A1" sqref="A1:AC1"/>
    </sheetView>
  </sheetViews>
  <sheetFormatPr defaultColWidth="8.88333333333333" defaultRowHeight="13.5"/>
  <cols>
    <col min="1" max="1" width="4.63333333333333" style="8" customWidth="1"/>
    <col min="2" max="2" width="16.7166666666667" style="8" customWidth="1"/>
    <col min="3" max="3" width="10.9333333333333" style="8" customWidth="1"/>
    <col min="4" max="4" width="39.0583333333333" style="8" customWidth="1"/>
    <col min="5" max="13" width="9.525" style="9" customWidth="1"/>
    <col min="14" max="14" width="9.84166666666667" style="10" customWidth="1"/>
    <col min="15" max="19" width="9.525" style="8" customWidth="1"/>
    <col min="20" max="21" width="8.275" style="8" customWidth="1"/>
    <col min="22" max="22" width="8.74166666666667" style="8" customWidth="1"/>
    <col min="23" max="24" width="9.525" style="8" customWidth="1"/>
    <col min="25" max="25" width="10.6166666666667" style="8" customWidth="1"/>
    <col min="26" max="26" width="11.875" style="8" customWidth="1"/>
    <col min="27" max="27" width="29.375" style="8" customWidth="1"/>
    <col min="28" max="28" width="27.9666666666667" style="8" customWidth="1"/>
    <col min="29" max="29" width="41.5583333333333" style="8" customWidth="1"/>
    <col min="30" max="16384" width="8.88333333333333" style="11"/>
  </cols>
  <sheetData>
    <row r="1" s="2" customFormat="1" ht="45" customHeight="1" spans="1:29">
      <c r="A1" s="12" t="s">
        <v>0</v>
      </c>
      <c r="B1" s="12"/>
      <c r="C1" s="12"/>
      <c r="D1" s="12"/>
      <c r="E1" s="13"/>
      <c r="F1" s="13"/>
      <c r="G1" s="13"/>
      <c r="H1" s="13"/>
      <c r="I1" s="13"/>
      <c r="J1" s="13"/>
      <c r="K1" s="13"/>
      <c r="L1" s="13"/>
      <c r="M1" s="13"/>
      <c r="N1" s="13"/>
      <c r="O1" s="12"/>
      <c r="P1" s="12"/>
      <c r="Q1" s="12"/>
      <c r="R1" s="12"/>
      <c r="S1" s="12"/>
      <c r="T1" s="12"/>
      <c r="U1" s="12"/>
      <c r="V1" s="12"/>
      <c r="W1" s="12"/>
      <c r="X1" s="12"/>
      <c r="Y1" s="12"/>
      <c r="Z1" s="12"/>
      <c r="AA1" s="12"/>
      <c r="AB1" s="12"/>
      <c r="AC1" s="12"/>
    </row>
    <row r="2" s="3" customFormat="1" ht="18" customHeight="1" spans="1:29">
      <c r="A2" s="14"/>
      <c r="B2" s="14"/>
      <c r="C2" s="14"/>
      <c r="D2" s="14"/>
      <c r="E2" s="15"/>
      <c r="F2" s="15"/>
      <c r="G2" s="15"/>
      <c r="H2" s="15"/>
      <c r="I2" s="15"/>
      <c r="J2" s="15"/>
      <c r="K2" s="15"/>
      <c r="L2" s="15"/>
      <c r="M2" s="15"/>
      <c r="N2" s="15"/>
      <c r="O2" s="14"/>
      <c r="P2" s="14"/>
      <c r="Q2" s="14"/>
      <c r="R2" s="14"/>
      <c r="S2" s="14"/>
      <c r="T2" s="14"/>
      <c r="U2" s="14"/>
      <c r="V2" s="14"/>
      <c r="W2" s="14"/>
      <c r="X2" s="14"/>
      <c r="Y2" s="14"/>
      <c r="Z2" s="14"/>
      <c r="AA2" s="14"/>
      <c r="AB2" s="14"/>
      <c r="AC2" s="14" t="s">
        <v>1</v>
      </c>
    </row>
    <row r="3" s="4" customFormat="1" ht="19" customHeight="1" spans="1:29">
      <c r="A3" s="16" t="s">
        <v>2</v>
      </c>
      <c r="B3" s="16" t="s">
        <v>3</v>
      </c>
      <c r="C3" s="16" t="s">
        <v>4</v>
      </c>
      <c r="D3" s="16" t="s">
        <v>5</v>
      </c>
      <c r="E3" s="17" t="s">
        <v>6</v>
      </c>
      <c r="F3" s="17"/>
      <c r="G3" s="17"/>
      <c r="H3" s="17"/>
      <c r="I3" s="17"/>
      <c r="J3" s="17" t="s">
        <v>7</v>
      </c>
      <c r="K3" s="17"/>
      <c r="L3" s="17"/>
      <c r="M3" s="17"/>
      <c r="N3" s="17"/>
      <c r="O3" s="17" t="s">
        <v>8</v>
      </c>
      <c r="P3" s="17"/>
      <c r="Q3" s="17"/>
      <c r="R3" s="17"/>
      <c r="S3" s="17"/>
      <c r="T3" s="32" t="s">
        <v>9</v>
      </c>
      <c r="U3" s="16" t="s">
        <v>10</v>
      </c>
      <c r="V3" s="16" t="s">
        <v>11</v>
      </c>
      <c r="W3" s="16" t="s">
        <v>12</v>
      </c>
      <c r="X3" s="16" t="s">
        <v>13</v>
      </c>
      <c r="Y3" s="16" t="s">
        <v>14</v>
      </c>
      <c r="Z3" s="16" t="s">
        <v>15</v>
      </c>
      <c r="AA3" s="16"/>
      <c r="AB3" s="16" t="s">
        <v>16</v>
      </c>
      <c r="AC3" s="16" t="s">
        <v>17</v>
      </c>
    </row>
    <row r="4" s="4" customFormat="1" ht="22" customHeight="1" spans="1:29">
      <c r="A4" s="16"/>
      <c r="B4" s="16"/>
      <c r="C4" s="16"/>
      <c r="D4" s="16"/>
      <c r="E4" s="17"/>
      <c r="F4" s="17"/>
      <c r="G4" s="17"/>
      <c r="H4" s="17"/>
      <c r="I4" s="17"/>
      <c r="J4" s="17"/>
      <c r="K4" s="17"/>
      <c r="L4" s="17"/>
      <c r="M4" s="17"/>
      <c r="N4" s="17"/>
      <c r="O4" s="17"/>
      <c r="P4" s="17"/>
      <c r="Q4" s="17"/>
      <c r="R4" s="17"/>
      <c r="S4" s="17"/>
      <c r="T4" s="32"/>
      <c r="U4" s="16"/>
      <c r="V4" s="16"/>
      <c r="W4" s="16"/>
      <c r="X4" s="16"/>
      <c r="Y4" s="16"/>
      <c r="Z4" s="16" t="s">
        <v>18</v>
      </c>
      <c r="AA4" s="16" t="s">
        <v>19</v>
      </c>
      <c r="AB4" s="16"/>
      <c r="AC4" s="16"/>
    </row>
    <row r="5" s="4" customFormat="1" ht="18" customHeight="1" spans="1:29">
      <c r="A5" s="16"/>
      <c r="B5" s="16"/>
      <c r="C5" s="16"/>
      <c r="D5" s="16"/>
      <c r="E5" s="17" t="s">
        <v>20</v>
      </c>
      <c r="F5" s="17" t="s">
        <v>21</v>
      </c>
      <c r="G5" s="17" t="s">
        <v>22</v>
      </c>
      <c r="H5" s="17" t="s">
        <v>23</v>
      </c>
      <c r="I5" s="17" t="s">
        <v>24</v>
      </c>
      <c r="J5" s="17" t="s">
        <v>20</v>
      </c>
      <c r="K5" s="17" t="s">
        <v>21</v>
      </c>
      <c r="L5" s="17" t="s">
        <v>22</v>
      </c>
      <c r="M5" s="17" t="s">
        <v>23</v>
      </c>
      <c r="N5" s="17" t="s">
        <v>24</v>
      </c>
      <c r="O5" s="17" t="s">
        <v>20</v>
      </c>
      <c r="P5" s="17" t="s">
        <v>21</v>
      </c>
      <c r="Q5" s="17" t="s">
        <v>22</v>
      </c>
      <c r="R5" s="17" t="s">
        <v>23</v>
      </c>
      <c r="S5" s="17" t="s">
        <v>24</v>
      </c>
      <c r="T5" s="32"/>
      <c r="U5" s="16"/>
      <c r="V5" s="16"/>
      <c r="W5" s="16"/>
      <c r="X5" s="16"/>
      <c r="Y5" s="16"/>
      <c r="Z5" s="16"/>
      <c r="AA5" s="16"/>
      <c r="AB5" s="16"/>
      <c r="AC5" s="16"/>
    </row>
    <row r="6" s="4" customFormat="1" ht="24" customHeight="1" spans="1:29">
      <c r="A6" s="18"/>
      <c r="B6" s="18"/>
      <c r="C6" s="18"/>
      <c r="D6" s="18"/>
      <c r="E6" s="19">
        <f>SUM(E7:E164)</f>
        <v>8387.2</v>
      </c>
      <c r="F6" s="19">
        <f t="shared" ref="F6:S6" si="0">SUM(F7:F164)</f>
        <v>2829</v>
      </c>
      <c r="G6" s="19">
        <f t="shared" si="0"/>
        <v>1344</v>
      </c>
      <c r="H6" s="19">
        <f t="shared" si="0"/>
        <v>1414.2</v>
      </c>
      <c r="I6" s="19">
        <f t="shared" si="0"/>
        <v>2800</v>
      </c>
      <c r="J6" s="19">
        <f t="shared" si="0"/>
        <v>8387.1981004</v>
      </c>
      <c r="K6" s="19">
        <f t="shared" si="0"/>
        <v>2829</v>
      </c>
      <c r="L6" s="19">
        <f t="shared" si="0"/>
        <v>1344</v>
      </c>
      <c r="M6" s="19">
        <f t="shared" si="0"/>
        <v>1414.1981004</v>
      </c>
      <c r="N6" s="19">
        <f t="shared" si="0"/>
        <v>2800</v>
      </c>
      <c r="O6" s="19">
        <f t="shared" si="0"/>
        <v>0.00189959999989653</v>
      </c>
      <c r="P6" s="19">
        <f t="shared" si="0"/>
        <v>9.68114477473137e-14</v>
      </c>
      <c r="Q6" s="19">
        <f t="shared" si="0"/>
        <v>2.44249065417534e-15</v>
      </c>
      <c r="R6" s="19">
        <f t="shared" si="0"/>
        <v>0.00189960000001488</v>
      </c>
      <c r="S6" s="19">
        <f t="shared" si="0"/>
        <v>-1.0680345496894e-13</v>
      </c>
      <c r="T6" s="19"/>
      <c r="U6" s="19"/>
      <c r="V6" s="19"/>
      <c r="W6" s="19"/>
      <c r="X6" s="19"/>
      <c r="Y6" s="18"/>
      <c r="Z6" s="18"/>
      <c r="AA6" s="18"/>
      <c r="AB6" s="18"/>
      <c r="AC6" s="18"/>
    </row>
    <row r="7" s="5" customFormat="1" ht="90" customHeight="1" spans="1:29">
      <c r="A7" s="20">
        <v>1</v>
      </c>
      <c r="B7" s="20" t="s">
        <v>25</v>
      </c>
      <c r="C7" s="21" t="s">
        <v>26</v>
      </c>
      <c r="D7" s="21" t="s">
        <v>27</v>
      </c>
      <c r="E7" s="22">
        <f>F7+G7+H7+I7</f>
        <v>1170</v>
      </c>
      <c r="F7" s="22">
        <v>1170</v>
      </c>
      <c r="G7" s="22">
        <v>0</v>
      </c>
      <c r="H7" s="22">
        <v>0</v>
      </c>
      <c r="I7" s="22">
        <v>0</v>
      </c>
      <c r="J7" s="22">
        <f>K7+L7+M7+N7</f>
        <v>1168.5774</v>
      </c>
      <c r="K7" s="22">
        <f>554.938+36.1+89.2384+26.6728+12.09+430.9608+16.2274+2.35</f>
        <v>1168.5774</v>
      </c>
      <c r="L7" s="26">
        <v>0</v>
      </c>
      <c r="M7" s="26">
        <v>0</v>
      </c>
      <c r="N7" s="26">
        <v>0</v>
      </c>
      <c r="O7" s="22">
        <f>P7+Q7+R7+S7</f>
        <v>1.4226000000001</v>
      </c>
      <c r="P7" s="22">
        <f t="shared" ref="P7:S7" si="1">F7-K7</f>
        <v>1.4226000000001</v>
      </c>
      <c r="Q7" s="22">
        <f t="shared" si="1"/>
        <v>0</v>
      </c>
      <c r="R7" s="22">
        <f t="shared" si="1"/>
        <v>0</v>
      </c>
      <c r="S7" s="22">
        <f t="shared" si="1"/>
        <v>0</v>
      </c>
      <c r="T7" s="24" t="s">
        <v>28</v>
      </c>
      <c r="U7" s="24" t="s">
        <v>29</v>
      </c>
      <c r="V7" s="20" t="s">
        <v>30</v>
      </c>
      <c r="W7" s="20" t="s">
        <v>31</v>
      </c>
      <c r="Y7" s="20" t="s">
        <v>32</v>
      </c>
      <c r="Z7" s="20" t="s">
        <v>33</v>
      </c>
      <c r="AA7" s="20" t="s">
        <v>34</v>
      </c>
      <c r="AB7" s="24" t="s">
        <v>35</v>
      </c>
      <c r="AC7" s="24" t="s">
        <v>36</v>
      </c>
    </row>
    <row r="8" s="5" customFormat="1" ht="94" customHeight="1" spans="1:29">
      <c r="A8" s="20">
        <v>2</v>
      </c>
      <c r="B8" s="20" t="s">
        <v>37</v>
      </c>
      <c r="C8" s="20" t="s">
        <v>38</v>
      </c>
      <c r="D8" s="20" t="s">
        <v>39</v>
      </c>
      <c r="E8" s="22">
        <f t="shared" ref="E8:E40" si="2">F8+G8+H8+I8</f>
        <v>300</v>
      </c>
      <c r="F8" s="23">
        <v>300</v>
      </c>
      <c r="G8" s="23">
        <v>0</v>
      </c>
      <c r="H8" s="23">
        <v>0</v>
      </c>
      <c r="I8" s="23">
        <v>0</v>
      </c>
      <c r="J8" s="23">
        <f t="shared" ref="J7:J16" si="3">K8+L8+M8+N8</f>
        <v>300</v>
      </c>
      <c r="K8" s="23">
        <f>100+100+100</f>
        <v>300</v>
      </c>
      <c r="L8" s="27">
        <v>0</v>
      </c>
      <c r="M8" s="27">
        <v>0</v>
      </c>
      <c r="N8" s="27">
        <v>0</v>
      </c>
      <c r="O8" s="23">
        <f t="shared" ref="O7:O16" si="4">P8+Q8+R8+S8</f>
        <v>0</v>
      </c>
      <c r="P8" s="23">
        <f t="shared" ref="P8:S8" si="5">F8-K8</f>
        <v>0</v>
      </c>
      <c r="Q8" s="23">
        <f t="shared" si="5"/>
        <v>0</v>
      </c>
      <c r="R8" s="23">
        <f t="shared" si="5"/>
        <v>0</v>
      </c>
      <c r="S8" s="23">
        <f t="shared" si="5"/>
        <v>0</v>
      </c>
      <c r="T8" s="24" t="s">
        <v>28</v>
      </c>
      <c r="U8" s="24" t="s">
        <v>29</v>
      </c>
      <c r="V8" s="20" t="s">
        <v>30</v>
      </c>
      <c r="W8" s="20" t="s">
        <v>40</v>
      </c>
      <c r="X8" s="20" t="s">
        <v>38</v>
      </c>
      <c r="Y8" s="20" t="s">
        <v>41</v>
      </c>
      <c r="Z8" s="20" t="s">
        <v>33</v>
      </c>
      <c r="AA8" s="20" t="s">
        <v>34</v>
      </c>
      <c r="AB8" s="20" t="s">
        <v>42</v>
      </c>
      <c r="AC8" s="20" t="s">
        <v>43</v>
      </c>
    </row>
    <row r="9" s="5" customFormat="1" ht="95" customHeight="1" spans="1:29">
      <c r="A9" s="20">
        <v>3</v>
      </c>
      <c r="B9" s="20" t="s">
        <v>44</v>
      </c>
      <c r="C9" s="21" t="s">
        <v>26</v>
      </c>
      <c r="D9" s="21" t="s">
        <v>45</v>
      </c>
      <c r="E9" s="22">
        <f t="shared" si="2"/>
        <v>67</v>
      </c>
      <c r="F9" s="23">
        <v>67</v>
      </c>
      <c r="G9" s="23">
        <v>0</v>
      </c>
      <c r="H9" s="23">
        <v>0</v>
      </c>
      <c r="I9" s="23">
        <v>0</v>
      </c>
      <c r="J9" s="23">
        <f t="shared" si="3"/>
        <v>66.7</v>
      </c>
      <c r="K9" s="23">
        <f>61.5+5.2</f>
        <v>66.7</v>
      </c>
      <c r="L9" s="27">
        <v>0</v>
      </c>
      <c r="M9" s="23">
        <v>0</v>
      </c>
      <c r="N9" s="23">
        <v>0</v>
      </c>
      <c r="O9" s="23">
        <f t="shared" si="4"/>
        <v>0.299999999999997</v>
      </c>
      <c r="P9" s="23">
        <f t="shared" ref="P9:S9" si="6">F9-K9</f>
        <v>0.299999999999997</v>
      </c>
      <c r="Q9" s="23">
        <f t="shared" si="6"/>
        <v>0</v>
      </c>
      <c r="R9" s="23">
        <f t="shared" si="6"/>
        <v>0</v>
      </c>
      <c r="S9" s="23">
        <f t="shared" si="6"/>
        <v>0</v>
      </c>
      <c r="T9" s="24" t="s">
        <v>46</v>
      </c>
      <c r="U9" s="24" t="s">
        <v>29</v>
      </c>
      <c r="V9" s="24" t="s">
        <v>30</v>
      </c>
      <c r="W9" s="24" t="s">
        <v>47</v>
      </c>
      <c r="X9" s="24"/>
      <c r="Y9" s="20" t="s">
        <v>48</v>
      </c>
      <c r="Z9" s="20" t="s">
        <v>33</v>
      </c>
      <c r="AA9" s="20" t="s">
        <v>34</v>
      </c>
      <c r="AB9" s="24" t="s">
        <v>49</v>
      </c>
      <c r="AC9" s="24" t="s">
        <v>50</v>
      </c>
    </row>
    <row r="10" s="6" customFormat="1" ht="135" customHeight="1" spans="1:29">
      <c r="A10" s="20">
        <v>4</v>
      </c>
      <c r="B10" s="20" t="s">
        <v>51</v>
      </c>
      <c r="C10" s="21" t="s">
        <v>52</v>
      </c>
      <c r="D10" s="21" t="s">
        <v>53</v>
      </c>
      <c r="E10" s="22">
        <f t="shared" si="2"/>
        <v>30</v>
      </c>
      <c r="F10" s="23">
        <v>30</v>
      </c>
      <c r="G10" s="23">
        <v>0</v>
      </c>
      <c r="H10" s="23">
        <v>0</v>
      </c>
      <c r="I10" s="23">
        <v>0</v>
      </c>
      <c r="J10" s="23">
        <f t="shared" si="3"/>
        <v>30</v>
      </c>
      <c r="K10" s="23">
        <f>15+15</f>
        <v>30</v>
      </c>
      <c r="L10" s="23">
        <v>0</v>
      </c>
      <c r="M10" s="23">
        <v>0</v>
      </c>
      <c r="N10" s="23">
        <v>0</v>
      </c>
      <c r="O10" s="23">
        <f t="shared" si="4"/>
        <v>0</v>
      </c>
      <c r="P10" s="23">
        <f t="shared" ref="P10:S10" si="7">F10-K10</f>
        <v>0</v>
      </c>
      <c r="Q10" s="23">
        <f t="shared" si="7"/>
        <v>0</v>
      </c>
      <c r="R10" s="23">
        <f t="shared" si="7"/>
        <v>0</v>
      </c>
      <c r="S10" s="23">
        <f t="shared" si="7"/>
        <v>0</v>
      </c>
      <c r="T10" s="24" t="s">
        <v>28</v>
      </c>
      <c r="U10" s="24" t="s">
        <v>54</v>
      </c>
      <c r="V10" s="24" t="s">
        <v>55</v>
      </c>
      <c r="W10" s="20" t="s">
        <v>56</v>
      </c>
      <c r="X10" s="24" t="s">
        <v>57</v>
      </c>
      <c r="Y10" s="20" t="s">
        <v>58</v>
      </c>
      <c r="Z10" s="20" t="s">
        <v>33</v>
      </c>
      <c r="AA10" s="20" t="s">
        <v>34</v>
      </c>
      <c r="AB10" s="24" t="s">
        <v>59</v>
      </c>
      <c r="AC10" s="24" t="s">
        <v>60</v>
      </c>
    </row>
    <row r="11" s="5" customFormat="1" ht="67" customHeight="1" spans="1:29">
      <c r="A11" s="20">
        <v>5</v>
      </c>
      <c r="B11" s="20" t="s">
        <v>61</v>
      </c>
      <c r="C11" s="21" t="s">
        <v>62</v>
      </c>
      <c r="D11" s="21" t="s">
        <v>63</v>
      </c>
      <c r="E11" s="22">
        <f t="shared" si="2"/>
        <v>30</v>
      </c>
      <c r="F11" s="23">
        <v>30</v>
      </c>
      <c r="G11" s="23">
        <v>0</v>
      </c>
      <c r="H11" s="23">
        <v>0</v>
      </c>
      <c r="I11" s="23">
        <v>0</v>
      </c>
      <c r="J11" s="23">
        <f t="shared" si="3"/>
        <v>30</v>
      </c>
      <c r="K11" s="23">
        <v>30</v>
      </c>
      <c r="L11" s="23">
        <v>0</v>
      </c>
      <c r="M11" s="23">
        <v>0</v>
      </c>
      <c r="N11" s="23">
        <v>0</v>
      </c>
      <c r="O11" s="23">
        <f t="shared" si="4"/>
        <v>0</v>
      </c>
      <c r="P11" s="23">
        <f t="shared" ref="P11:S11" si="8">F11-K11</f>
        <v>0</v>
      </c>
      <c r="Q11" s="23">
        <f t="shared" si="8"/>
        <v>0</v>
      </c>
      <c r="R11" s="23">
        <f t="shared" si="8"/>
        <v>0</v>
      </c>
      <c r="S11" s="23">
        <f t="shared" si="8"/>
        <v>0</v>
      </c>
      <c r="T11" s="24" t="s">
        <v>28</v>
      </c>
      <c r="U11" s="24" t="s">
        <v>54</v>
      </c>
      <c r="V11" s="20" t="s">
        <v>55</v>
      </c>
      <c r="W11" s="20" t="s">
        <v>64</v>
      </c>
      <c r="X11" s="20" t="s">
        <v>65</v>
      </c>
      <c r="Y11" s="20" t="s">
        <v>58</v>
      </c>
      <c r="Z11" s="20" t="s">
        <v>33</v>
      </c>
      <c r="AA11" s="20" t="s">
        <v>34</v>
      </c>
      <c r="AB11" s="20" t="s">
        <v>66</v>
      </c>
      <c r="AC11" s="20" t="s">
        <v>67</v>
      </c>
    </row>
    <row r="12" s="5" customFormat="1" ht="80" customHeight="1" spans="1:29">
      <c r="A12" s="20">
        <v>6</v>
      </c>
      <c r="B12" s="20" t="s">
        <v>68</v>
      </c>
      <c r="C12" s="21" t="s">
        <v>69</v>
      </c>
      <c r="D12" s="21" t="s">
        <v>70</v>
      </c>
      <c r="E12" s="22">
        <f t="shared" si="2"/>
        <v>30</v>
      </c>
      <c r="F12" s="23">
        <v>30</v>
      </c>
      <c r="G12" s="23">
        <v>0</v>
      </c>
      <c r="H12" s="23">
        <v>0</v>
      </c>
      <c r="I12" s="23">
        <v>0</v>
      </c>
      <c r="J12" s="23">
        <f t="shared" si="3"/>
        <v>30</v>
      </c>
      <c r="K12" s="23">
        <v>30</v>
      </c>
      <c r="L12" s="23">
        <v>0</v>
      </c>
      <c r="M12" s="23">
        <v>0</v>
      </c>
      <c r="N12" s="23">
        <v>0</v>
      </c>
      <c r="O12" s="23">
        <f t="shared" si="4"/>
        <v>0</v>
      </c>
      <c r="P12" s="23">
        <f t="shared" ref="P12:S12" si="9">F12-K12</f>
        <v>0</v>
      </c>
      <c r="Q12" s="23">
        <f t="shared" si="9"/>
        <v>0</v>
      </c>
      <c r="R12" s="23">
        <f t="shared" si="9"/>
        <v>0</v>
      </c>
      <c r="S12" s="23">
        <f t="shared" si="9"/>
        <v>0</v>
      </c>
      <c r="T12" s="24" t="s">
        <v>28</v>
      </c>
      <c r="U12" s="24" t="s">
        <v>54</v>
      </c>
      <c r="V12" s="20" t="s">
        <v>55</v>
      </c>
      <c r="W12" s="20" t="s">
        <v>71</v>
      </c>
      <c r="X12" s="20" t="s">
        <v>72</v>
      </c>
      <c r="Y12" s="20" t="s">
        <v>58</v>
      </c>
      <c r="Z12" s="20" t="s">
        <v>33</v>
      </c>
      <c r="AA12" s="20" t="s">
        <v>34</v>
      </c>
      <c r="AB12" s="20" t="s">
        <v>66</v>
      </c>
      <c r="AC12" s="20" t="s">
        <v>67</v>
      </c>
    </row>
    <row r="13" s="5" customFormat="1" ht="78" customHeight="1" spans="1:29">
      <c r="A13" s="20">
        <v>7</v>
      </c>
      <c r="B13" s="20" t="s">
        <v>73</v>
      </c>
      <c r="C13" s="21" t="s">
        <v>74</v>
      </c>
      <c r="D13" s="21" t="s">
        <v>70</v>
      </c>
      <c r="E13" s="22">
        <f t="shared" si="2"/>
        <v>30</v>
      </c>
      <c r="F13" s="23">
        <v>30</v>
      </c>
      <c r="G13" s="23">
        <v>0</v>
      </c>
      <c r="H13" s="23">
        <v>0</v>
      </c>
      <c r="I13" s="23">
        <v>0</v>
      </c>
      <c r="J13" s="23">
        <f t="shared" si="3"/>
        <v>30</v>
      </c>
      <c r="K13" s="23">
        <v>30</v>
      </c>
      <c r="L13" s="23">
        <v>0</v>
      </c>
      <c r="M13" s="23">
        <v>0</v>
      </c>
      <c r="N13" s="23">
        <v>0</v>
      </c>
      <c r="O13" s="23">
        <f t="shared" si="4"/>
        <v>0</v>
      </c>
      <c r="P13" s="23">
        <f t="shared" ref="P13:S13" si="10">F13-K13</f>
        <v>0</v>
      </c>
      <c r="Q13" s="23">
        <f t="shared" si="10"/>
        <v>0</v>
      </c>
      <c r="R13" s="23">
        <f t="shared" si="10"/>
        <v>0</v>
      </c>
      <c r="S13" s="23">
        <f t="shared" si="10"/>
        <v>0</v>
      </c>
      <c r="T13" s="24" t="s">
        <v>28</v>
      </c>
      <c r="U13" s="24" t="s">
        <v>54</v>
      </c>
      <c r="V13" s="20" t="s">
        <v>55</v>
      </c>
      <c r="W13" s="20" t="s">
        <v>75</v>
      </c>
      <c r="X13" s="20" t="s">
        <v>76</v>
      </c>
      <c r="Y13" s="20" t="s">
        <v>58</v>
      </c>
      <c r="Z13" s="20" t="s">
        <v>33</v>
      </c>
      <c r="AA13" s="20" t="s">
        <v>34</v>
      </c>
      <c r="AB13" s="20" t="s">
        <v>66</v>
      </c>
      <c r="AC13" s="20" t="s">
        <v>67</v>
      </c>
    </row>
    <row r="14" s="5" customFormat="1" ht="75" customHeight="1" spans="1:29">
      <c r="A14" s="20">
        <v>8</v>
      </c>
      <c r="B14" s="20" t="s">
        <v>77</v>
      </c>
      <c r="C14" s="21" t="s">
        <v>78</v>
      </c>
      <c r="D14" s="21" t="s">
        <v>70</v>
      </c>
      <c r="E14" s="22">
        <f t="shared" si="2"/>
        <v>30</v>
      </c>
      <c r="F14" s="23">
        <v>30</v>
      </c>
      <c r="G14" s="23">
        <v>0</v>
      </c>
      <c r="H14" s="23">
        <v>0</v>
      </c>
      <c r="I14" s="23">
        <v>0</v>
      </c>
      <c r="J14" s="23">
        <f t="shared" si="3"/>
        <v>29.9775</v>
      </c>
      <c r="K14" s="23">
        <v>29.9775</v>
      </c>
      <c r="L14" s="23">
        <v>0</v>
      </c>
      <c r="M14" s="23">
        <v>0</v>
      </c>
      <c r="N14" s="23">
        <v>0</v>
      </c>
      <c r="O14" s="23">
        <f t="shared" si="4"/>
        <v>0.0225000000000009</v>
      </c>
      <c r="P14" s="23">
        <f t="shared" ref="P14:S14" si="11">F14-K14</f>
        <v>0.0225000000000009</v>
      </c>
      <c r="Q14" s="23">
        <f t="shared" si="11"/>
        <v>0</v>
      </c>
      <c r="R14" s="23">
        <f t="shared" si="11"/>
        <v>0</v>
      </c>
      <c r="S14" s="23">
        <f t="shared" si="11"/>
        <v>0</v>
      </c>
      <c r="T14" s="24" t="s">
        <v>28</v>
      </c>
      <c r="U14" s="24" t="s">
        <v>54</v>
      </c>
      <c r="V14" s="20" t="s">
        <v>55</v>
      </c>
      <c r="W14" s="20" t="s">
        <v>79</v>
      </c>
      <c r="X14" s="20" t="s">
        <v>80</v>
      </c>
      <c r="Y14" s="20" t="s">
        <v>58</v>
      </c>
      <c r="Z14" s="20" t="s">
        <v>33</v>
      </c>
      <c r="AA14" s="20" t="s">
        <v>34</v>
      </c>
      <c r="AB14" s="20" t="s">
        <v>66</v>
      </c>
      <c r="AC14" s="20" t="s">
        <v>67</v>
      </c>
    </row>
    <row r="15" s="5" customFormat="1" ht="75" customHeight="1" spans="1:29">
      <c r="A15" s="20">
        <v>9</v>
      </c>
      <c r="B15" s="20" t="s">
        <v>81</v>
      </c>
      <c r="C15" s="21" t="s">
        <v>82</v>
      </c>
      <c r="D15" s="21" t="s">
        <v>70</v>
      </c>
      <c r="E15" s="22">
        <f t="shared" si="2"/>
        <v>30</v>
      </c>
      <c r="F15" s="23">
        <v>30</v>
      </c>
      <c r="G15" s="23">
        <v>0</v>
      </c>
      <c r="H15" s="23">
        <v>0</v>
      </c>
      <c r="I15" s="23">
        <v>0</v>
      </c>
      <c r="J15" s="23">
        <f t="shared" si="3"/>
        <v>29.9775</v>
      </c>
      <c r="K15" s="23">
        <v>29.9775</v>
      </c>
      <c r="L15" s="23">
        <v>0</v>
      </c>
      <c r="M15" s="23">
        <v>0</v>
      </c>
      <c r="N15" s="23">
        <v>0</v>
      </c>
      <c r="O15" s="23">
        <f t="shared" si="4"/>
        <v>0.0225000000000009</v>
      </c>
      <c r="P15" s="23">
        <f t="shared" ref="P15:S15" si="12">F15-K15</f>
        <v>0.0225000000000009</v>
      </c>
      <c r="Q15" s="23">
        <f t="shared" si="12"/>
        <v>0</v>
      </c>
      <c r="R15" s="23">
        <f t="shared" si="12"/>
        <v>0</v>
      </c>
      <c r="S15" s="23">
        <f t="shared" si="12"/>
        <v>0</v>
      </c>
      <c r="T15" s="24" t="s">
        <v>28</v>
      </c>
      <c r="U15" s="24" t="s">
        <v>54</v>
      </c>
      <c r="V15" s="20" t="s">
        <v>55</v>
      </c>
      <c r="W15" s="20" t="s">
        <v>79</v>
      </c>
      <c r="X15" s="20" t="s">
        <v>80</v>
      </c>
      <c r="Y15" s="20" t="s">
        <v>58</v>
      </c>
      <c r="Z15" s="20" t="s">
        <v>33</v>
      </c>
      <c r="AA15" s="20" t="s">
        <v>34</v>
      </c>
      <c r="AB15" s="20" t="s">
        <v>66</v>
      </c>
      <c r="AC15" s="20" t="s">
        <v>67</v>
      </c>
    </row>
    <row r="16" s="5" customFormat="1" ht="90" customHeight="1" spans="1:29">
      <c r="A16" s="20">
        <v>10</v>
      </c>
      <c r="B16" s="20" t="s">
        <v>83</v>
      </c>
      <c r="C16" s="21" t="s">
        <v>84</v>
      </c>
      <c r="D16" s="21" t="s">
        <v>70</v>
      </c>
      <c r="E16" s="22">
        <f t="shared" si="2"/>
        <v>30</v>
      </c>
      <c r="F16" s="23">
        <v>20</v>
      </c>
      <c r="G16" s="23">
        <v>10</v>
      </c>
      <c r="H16" s="23">
        <v>0</v>
      </c>
      <c r="I16" s="23">
        <v>0</v>
      </c>
      <c r="J16" s="23">
        <f t="shared" si="3"/>
        <v>29.9775</v>
      </c>
      <c r="K16" s="23">
        <v>20</v>
      </c>
      <c r="L16" s="23">
        <v>9.9775</v>
      </c>
      <c r="M16" s="23">
        <v>0</v>
      </c>
      <c r="N16" s="23">
        <v>0</v>
      </c>
      <c r="O16" s="23">
        <f t="shared" si="4"/>
        <v>0.0225000000000009</v>
      </c>
      <c r="P16" s="23">
        <f t="shared" ref="P16:S16" si="13">F16-K16</f>
        <v>0</v>
      </c>
      <c r="Q16" s="23">
        <f t="shared" si="13"/>
        <v>0.0225000000000009</v>
      </c>
      <c r="R16" s="23">
        <f t="shared" si="13"/>
        <v>0</v>
      </c>
      <c r="S16" s="23">
        <f t="shared" si="13"/>
        <v>0</v>
      </c>
      <c r="T16" s="24" t="s">
        <v>28</v>
      </c>
      <c r="U16" s="24" t="s">
        <v>54</v>
      </c>
      <c r="V16" s="20" t="s">
        <v>55</v>
      </c>
      <c r="W16" s="20" t="s">
        <v>79</v>
      </c>
      <c r="X16" s="20" t="s">
        <v>80</v>
      </c>
      <c r="Y16" s="20" t="s">
        <v>58</v>
      </c>
      <c r="Z16" s="20" t="s">
        <v>85</v>
      </c>
      <c r="AA16" s="20" t="s">
        <v>86</v>
      </c>
      <c r="AB16" s="20" t="s">
        <v>66</v>
      </c>
      <c r="AC16" s="20" t="s">
        <v>67</v>
      </c>
    </row>
    <row r="17" s="5" customFormat="1" ht="67.5" spans="1:29">
      <c r="A17" s="20">
        <v>11</v>
      </c>
      <c r="B17" s="20" t="s">
        <v>87</v>
      </c>
      <c r="C17" s="24" t="s">
        <v>88</v>
      </c>
      <c r="D17" s="21" t="s">
        <v>89</v>
      </c>
      <c r="E17" s="22">
        <f t="shared" si="2"/>
        <v>28.68</v>
      </c>
      <c r="F17" s="23">
        <v>28.68</v>
      </c>
      <c r="G17" s="23">
        <v>0</v>
      </c>
      <c r="H17" s="23">
        <v>0</v>
      </c>
      <c r="I17" s="23">
        <v>0</v>
      </c>
      <c r="J17" s="23">
        <f t="shared" ref="J17:J23" si="14">K17+L17+M17+N17</f>
        <v>28.669456</v>
      </c>
      <c r="K17" s="23">
        <f>14.34+14.329456</f>
        <v>28.669456</v>
      </c>
      <c r="L17" s="27">
        <v>0</v>
      </c>
      <c r="M17" s="23">
        <v>0</v>
      </c>
      <c r="N17" s="23">
        <v>0</v>
      </c>
      <c r="O17" s="23">
        <f t="shared" ref="O17:O23" si="15">P17+Q17+R17+S17</f>
        <v>0.0105439999999994</v>
      </c>
      <c r="P17" s="23">
        <f t="shared" ref="P17:S17" si="16">F17-K17</f>
        <v>0.0105439999999994</v>
      </c>
      <c r="Q17" s="23">
        <f t="shared" si="16"/>
        <v>0</v>
      </c>
      <c r="R17" s="23">
        <f t="shared" si="16"/>
        <v>0</v>
      </c>
      <c r="S17" s="23">
        <f t="shared" si="16"/>
        <v>0</v>
      </c>
      <c r="T17" s="24" t="s">
        <v>90</v>
      </c>
      <c r="U17" s="24" t="s">
        <v>91</v>
      </c>
      <c r="V17" s="20" t="s">
        <v>92</v>
      </c>
      <c r="W17" s="20" t="s">
        <v>93</v>
      </c>
      <c r="X17" s="20" t="s">
        <v>94</v>
      </c>
      <c r="Y17" s="20" t="s">
        <v>58</v>
      </c>
      <c r="Z17" s="20" t="s">
        <v>33</v>
      </c>
      <c r="AA17" s="20" t="s">
        <v>34</v>
      </c>
      <c r="AB17" s="20" t="s">
        <v>95</v>
      </c>
      <c r="AC17" s="20" t="s">
        <v>96</v>
      </c>
    </row>
    <row r="18" s="5" customFormat="1" ht="67.5" spans="1:29">
      <c r="A18" s="20">
        <v>12</v>
      </c>
      <c r="B18" s="20" t="s">
        <v>97</v>
      </c>
      <c r="C18" s="24" t="s">
        <v>98</v>
      </c>
      <c r="D18" s="21" t="s">
        <v>99</v>
      </c>
      <c r="E18" s="22">
        <f t="shared" si="2"/>
        <v>40.11</v>
      </c>
      <c r="F18" s="23">
        <v>40.11</v>
      </c>
      <c r="G18" s="23">
        <v>0</v>
      </c>
      <c r="H18" s="23">
        <v>0</v>
      </c>
      <c r="I18" s="23">
        <v>0</v>
      </c>
      <c r="J18" s="23">
        <f t="shared" si="14"/>
        <v>39.756167</v>
      </c>
      <c r="K18" s="23">
        <f>20.019+19.737167</f>
        <v>39.756167</v>
      </c>
      <c r="L18" s="27">
        <v>0</v>
      </c>
      <c r="M18" s="23">
        <v>0</v>
      </c>
      <c r="N18" s="23">
        <v>0</v>
      </c>
      <c r="O18" s="23">
        <f t="shared" si="15"/>
        <v>0.353833000000002</v>
      </c>
      <c r="P18" s="23">
        <f t="shared" ref="P18:S18" si="17">F18-K18</f>
        <v>0.353833000000002</v>
      </c>
      <c r="Q18" s="23">
        <f t="shared" si="17"/>
        <v>0</v>
      </c>
      <c r="R18" s="23">
        <f t="shared" si="17"/>
        <v>0</v>
      </c>
      <c r="S18" s="23">
        <f t="shared" si="17"/>
        <v>0</v>
      </c>
      <c r="T18" s="24" t="s">
        <v>90</v>
      </c>
      <c r="U18" s="24" t="s">
        <v>91</v>
      </c>
      <c r="V18" s="20" t="s">
        <v>92</v>
      </c>
      <c r="W18" s="20" t="s">
        <v>93</v>
      </c>
      <c r="X18" s="20" t="s">
        <v>94</v>
      </c>
      <c r="Y18" s="20" t="s">
        <v>58</v>
      </c>
      <c r="Z18" s="20" t="s">
        <v>33</v>
      </c>
      <c r="AA18" s="20" t="s">
        <v>34</v>
      </c>
      <c r="AB18" s="20" t="s">
        <v>95</v>
      </c>
      <c r="AC18" s="20" t="s">
        <v>96</v>
      </c>
    </row>
    <row r="19" s="5" customFormat="1" ht="67.5" spans="1:29">
      <c r="A19" s="20">
        <v>13</v>
      </c>
      <c r="B19" s="20" t="s">
        <v>100</v>
      </c>
      <c r="C19" s="24" t="s">
        <v>101</v>
      </c>
      <c r="D19" s="21" t="s">
        <v>102</v>
      </c>
      <c r="E19" s="22">
        <f t="shared" si="2"/>
        <v>68.65</v>
      </c>
      <c r="F19" s="23">
        <v>68.65</v>
      </c>
      <c r="G19" s="23">
        <v>0</v>
      </c>
      <c r="H19" s="23">
        <v>0</v>
      </c>
      <c r="I19" s="23">
        <v>0</v>
      </c>
      <c r="J19" s="23">
        <f t="shared" si="14"/>
        <v>68.609249</v>
      </c>
      <c r="K19" s="23">
        <f>34.3+34.309249</f>
        <v>68.609249</v>
      </c>
      <c r="L19" s="27">
        <v>0</v>
      </c>
      <c r="M19" s="23">
        <v>0</v>
      </c>
      <c r="N19" s="23">
        <v>0</v>
      </c>
      <c r="O19" s="23">
        <f t="shared" si="15"/>
        <v>0.0407510000000002</v>
      </c>
      <c r="P19" s="23">
        <f t="shared" ref="P19:S19" si="18">F19-K19</f>
        <v>0.0407510000000002</v>
      </c>
      <c r="Q19" s="23">
        <f t="shared" si="18"/>
        <v>0</v>
      </c>
      <c r="R19" s="23">
        <f t="shared" si="18"/>
        <v>0</v>
      </c>
      <c r="S19" s="23">
        <f t="shared" si="18"/>
        <v>0</v>
      </c>
      <c r="T19" s="24" t="s">
        <v>90</v>
      </c>
      <c r="U19" s="24" t="s">
        <v>91</v>
      </c>
      <c r="V19" s="20" t="s">
        <v>92</v>
      </c>
      <c r="W19" s="20" t="s">
        <v>93</v>
      </c>
      <c r="X19" s="20" t="s">
        <v>94</v>
      </c>
      <c r="Y19" s="20" t="s">
        <v>58</v>
      </c>
      <c r="Z19" s="20" t="s">
        <v>33</v>
      </c>
      <c r="AA19" s="20" t="s">
        <v>34</v>
      </c>
      <c r="AB19" s="20" t="s">
        <v>95</v>
      </c>
      <c r="AC19" s="20" t="s">
        <v>96</v>
      </c>
    </row>
    <row r="20" s="5" customFormat="1" ht="67.5" spans="1:29">
      <c r="A20" s="20">
        <v>14</v>
      </c>
      <c r="B20" s="20" t="s">
        <v>103</v>
      </c>
      <c r="C20" s="24" t="s">
        <v>104</v>
      </c>
      <c r="D20" s="21" t="s">
        <v>105</v>
      </c>
      <c r="E20" s="22">
        <f t="shared" si="2"/>
        <v>107.32</v>
      </c>
      <c r="F20" s="23">
        <v>107.32</v>
      </c>
      <c r="G20" s="23">
        <v>0</v>
      </c>
      <c r="H20" s="23">
        <v>0</v>
      </c>
      <c r="I20" s="23">
        <v>0</v>
      </c>
      <c r="J20" s="23">
        <f t="shared" si="14"/>
        <v>106.813918</v>
      </c>
      <c r="K20" s="23">
        <f>53.25+53.563918</f>
        <v>106.813918</v>
      </c>
      <c r="L20" s="27">
        <v>0</v>
      </c>
      <c r="M20" s="23">
        <v>0</v>
      </c>
      <c r="N20" s="23">
        <v>0</v>
      </c>
      <c r="O20" s="23">
        <f t="shared" si="15"/>
        <v>0.506081999999992</v>
      </c>
      <c r="P20" s="23">
        <f t="shared" ref="P20:S20" si="19">F20-K20</f>
        <v>0.506081999999992</v>
      </c>
      <c r="Q20" s="23">
        <f t="shared" si="19"/>
        <v>0</v>
      </c>
      <c r="R20" s="23">
        <f t="shared" si="19"/>
        <v>0</v>
      </c>
      <c r="S20" s="23">
        <f t="shared" si="19"/>
        <v>0</v>
      </c>
      <c r="T20" s="24" t="s">
        <v>90</v>
      </c>
      <c r="U20" s="24" t="s">
        <v>91</v>
      </c>
      <c r="V20" s="20" t="s">
        <v>92</v>
      </c>
      <c r="W20" s="20" t="s">
        <v>93</v>
      </c>
      <c r="X20" s="20" t="s">
        <v>94</v>
      </c>
      <c r="Y20" s="20" t="s">
        <v>58</v>
      </c>
      <c r="Z20" s="20" t="s">
        <v>33</v>
      </c>
      <c r="AA20" s="20" t="s">
        <v>34</v>
      </c>
      <c r="AB20" s="20" t="s">
        <v>95</v>
      </c>
      <c r="AC20" s="20" t="s">
        <v>96</v>
      </c>
    </row>
    <row r="21" s="5" customFormat="1" ht="108" spans="1:29">
      <c r="A21" s="20">
        <v>15</v>
      </c>
      <c r="B21" s="20" t="s">
        <v>106</v>
      </c>
      <c r="C21" s="24" t="s">
        <v>107</v>
      </c>
      <c r="D21" s="21" t="s">
        <v>108</v>
      </c>
      <c r="E21" s="22">
        <f t="shared" si="2"/>
        <v>20.15</v>
      </c>
      <c r="F21" s="23">
        <v>19.24</v>
      </c>
      <c r="G21" s="23">
        <v>0.91</v>
      </c>
      <c r="H21" s="23">
        <v>0</v>
      </c>
      <c r="I21" s="23">
        <v>0</v>
      </c>
      <c r="J21" s="23">
        <f t="shared" si="14"/>
        <v>20.144407</v>
      </c>
      <c r="K21" s="23">
        <f>10.7+8.534407</f>
        <v>19.234407</v>
      </c>
      <c r="L21" s="23">
        <v>0.91</v>
      </c>
      <c r="M21" s="23">
        <v>0</v>
      </c>
      <c r="N21" s="23">
        <v>0</v>
      </c>
      <c r="O21" s="23">
        <f t="shared" si="15"/>
        <v>0.00559300000000107</v>
      </c>
      <c r="P21" s="23">
        <f t="shared" ref="P21:S21" si="20">F21-K21</f>
        <v>0.00559300000000107</v>
      </c>
      <c r="Q21" s="23">
        <f t="shared" si="20"/>
        <v>0</v>
      </c>
      <c r="R21" s="23">
        <f t="shared" si="20"/>
        <v>0</v>
      </c>
      <c r="S21" s="23">
        <f t="shared" si="20"/>
        <v>0</v>
      </c>
      <c r="T21" s="24" t="s">
        <v>28</v>
      </c>
      <c r="U21" s="24" t="s">
        <v>91</v>
      </c>
      <c r="V21" s="20" t="s">
        <v>92</v>
      </c>
      <c r="W21" s="20" t="s">
        <v>93</v>
      </c>
      <c r="X21" s="20" t="s">
        <v>94</v>
      </c>
      <c r="Y21" s="20" t="s">
        <v>58</v>
      </c>
      <c r="Z21" s="20" t="s">
        <v>85</v>
      </c>
      <c r="AA21" s="20" t="s">
        <v>86</v>
      </c>
      <c r="AB21" s="20" t="s">
        <v>95</v>
      </c>
      <c r="AC21" s="20" t="s">
        <v>96</v>
      </c>
    </row>
    <row r="22" s="5" customFormat="1" ht="80" customHeight="1" spans="1:29">
      <c r="A22" s="20">
        <v>16</v>
      </c>
      <c r="B22" s="24" t="s">
        <v>109</v>
      </c>
      <c r="C22" s="21" t="s">
        <v>26</v>
      </c>
      <c r="D22" s="21" t="s">
        <v>110</v>
      </c>
      <c r="E22" s="22">
        <f t="shared" si="2"/>
        <v>50</v>
      </c>
      <c r="F22" s="23">
        <v>50</v>
      </c>
      <c r="G22" s="23">
        <v>0</v>
      </c>
      <c r="H22" s="23">
        <v>0</v>
      </c>
      <c r="I22" s="23">
        <v>0</v>
      </c>
      <c r="J22" s="23">
        <f t="shared" si="14"/>
        <v>48</v>
      </c>
      <c r="K22" s="23">
        <v>48</v>
      </c>
      <c r="L22" s="27">
        <v>0</v>
      </c>
      <c r="M22" s="23">
        <v>0</v>
      </c>
      <c r="N22" s="23">
        <v>0</v>
      </c>
      <c r="O22" s="23">
        <f t="shared" si="15"/>
        <v>2</v>
      </c>
      <c r="P22" s="23">
        <f t="shared" ref="P22:S22" si="21">F22-K22</f>
        <v>2</v>
      </c>
      <c r="Q22" s="23">
        <f t="shared" si="21"/>
        <v>0</v>
      </c>
      <c r="R22" s="23">
        <f t="shared" si="21"/>
        <v>0</v>
      </c>
      <c r="S22" s="23">
        <f t="shared" si="21"/>
        <v>0</v>
      </c>
      <c r="T22" s="24" t="s">
        <v>46</v>
      </c>
      <c r="U22" s="24" t="s">
        <v>29</v>
      </c>
      <c r="V22" s="20" t="s">
        <v>30</v>
      </c>
      <c r="W22" s="20" t="s">
        <v>111</v>
      </c>
      <c r="X22" s="20"/>
      <c r="Y22" s="20" t="s">
        <v>112</v>
      </c>
      <c r="Z22" s="20" t="s">
        <v>33</v>
      </c>
      <c r="AA22" s="20" t="s">
        <v>34</v>
      </c>
      <c r="AB22" s="20" t="s">
        <v>113</v>
      </c>
      <c r="AC22" s="20" t="s">
        <v>114</v>
      </c>
    </row>
    <row r="23" s="5" customFormat="1" ht="109" customHeight="1" spans="1:29">
      <c r="A23" s="20">
        <v>17</v>
      </c>
      <c r="B23" s="24" t="s">
        <v>115</v>
      </c>
      <c r="C23" s="24" t="s">
        <v>116</v>
      </c>
      <c r="D23" s="20" t="s">
        <v>117</v>
      </c>
      <c r="E23" s="22">
        <f t="shared" si="2"/>
        <v>70</v>
      </c>
      <c r="F23" s="23">
        <v>30</v>
      </c>
      <c r="G23" s="23">
        <v>40</v>
      </c>
      <c r="H23" s="23">
        <v>0</v>
      </c>
      <c r="I23" s="23">
        <v>0</v>
      </c>
      <c r="J23" s="23">
        <f t="shared" si="14"/>
        <v>69.926764</v>
      </c>
      <c r="K23" s="23">
        <v>30</v>
      </c>
      <c r="L23" s="27">
        <v>39.926764</v>
      </c>
      <c r="M23" s="23">
        <v>0</v>
      </c>
      <c r="N23" s="23">
        <v>0</v>
      </c>
      <c r="O23" s="23">
        <f t="shared" si="15"/>
        <v>0.0732360000000014</v>
      </c>
      <c r="P23" s="23">
        <f t="shared" ref="P23:S23" si="22">F23-K23</f>
        <v>0</v>
      </c>
      <c r="Q23" s="23">
        <f t="shared" si="22"/>
        <v>0.0732360000000014</v>
      </c>
      <c r="R23" s="23">
        <f t="shared" si="22"/>
        <v>0</v>
      </c>
      <c r="S23" s="23">
        <f t="shared" si="22"/>
        <v>0</v>
      </c>
      <c r="T23" s="24" t="s">
        <v>28</v>
      </c>
      <c r="U23" s="24" t="s">
        <v>118</v>
      </c>
      <c r="V23" s="20" t="s">
        <v>119</v>
      </c>
      <c r="W23" s="20" t="s">
        <v>120</v>
      </c>
      <c r="X23" s="20" t="s">
        <v>121</v>
      </c>
      <c r="Y23" s="20" t="s">
        <v>122</v>
      </c>
      <c r="Z23" s="34" t="s">
        <v>123</v>
      </c>
      <c r="AA23" s="24" t="s">
        <v>124</v>
      </c>
      <c r="AB23" s="20" t="s">
        <v>66</v>
      </c>
      <c r="AC23" s="20" t="s">
        <v>67</v>
      </c>
    </row>
    <row r="24" s="5" customFormat="1" ht="108" spans="1:29">
      <c r="A24" s="20">
        <v>18</v>
      </c>
      <c r="B24" s="20" t="s">
        <v>125</v>
      </c>
      <c r="C24" s="21" t="s">
        <v>26</v>
      </c>
      <c r="D24" s="20" t="s">
        <v>126</v>
      </c>
      <c r="E24" s="22">
        <f t="shared" si="2"/>
        <v>65</v>
      </c>
      <c r="F24" s="23">
        <v>0</v>
      </c>
      <c r="G24" s="23">
        <v>65</v>
      </c>
      <c r="H24" s="23">
        <v>0</v>
      </c>
      <c r="I24" s="23">
        <v>0</v>
      </c>
      <c r="J24" s="23">
        <f t="shared" ref="J24:J67" si="23">K24+L24+M24+N24</f>
        <v>28.94</v>
      </c>
      <c r="K24" s="23">
        <v>0</v>
      </c>
      <c r="L24" s="27">
        <f>7.195+7.195+7.275+7.275</f>
        <v>28.94</v>
      </c>
      <c r="M24" s="23">
        <v>0</v>
      </c>
      <c r="N24" s="23">
        <v>0</v>
      </c>
      <c r="O24" s="23">
        <f t="shared" ref="O24:O67" si="24">P24+Q24+R24+S24</f>
        <v>36.06</v>
      </c>
      <c r="P24" s="23">
        <f t="shared" ref="P24:S24" si="25">F24-K24</f>
        <v>0</v>
      </c>
      <c r="Q24" s="23">
        <f t="shared" si="25"/>
        <v>36.06</v>
      </c>
      <c r="R24" s="23">
        <f t="shared" si="25"/>
        <v>0</v>
      </c>
      <c r="S24" s="23">
        <f t="shared" si="25"/>
        <v>0</v>
      </c>
      <c r="T24" s="24" t="s">
        <v>46</v>
      </c>
      <c r="U24" s="24" t="s">
        <v>29</v>
      </c>
      <c r="V24" s="24" t="s">
        <v>30</v>
      </c>
      <c r="W24" s="24" t="s">
        <v>127</v>
      </c>
      <c r="X24" s="24"/>
      <c r="Y24" s="20" t="s">
        <v>128</v>
      </c>
      <c r="Z24" s="34" t="s">
        <v>129</v>
      </c>
      <c r="AA24" s="24" t="s">
        <v>34</v>
      </c>
      <c r="AB24" s="24" t="s">
        <v>130</v>
      </c>
      <c r="AC24" s="24" t="s">
        <v>131</v>
      </c>
    </row>
    <row r="25" s="5" customFormat="1" ht="67.5" spans="1:29">
      <c r="A25" s="20">
        <v>19</v>
      </c>
      <c r="B25" s="20" t="s">
        <v>132</v>
      </c>
      <c r="C25" s="24" t="s">
        <v>133</v>
      </c>
      <c r="D25" s="20" t="s">
        <v>70</v>
      </c>
      <c r="E25" s="22">
        <f t="shared" si="2"/>
        <v>30</v>
      </c>
      <c r="F25" s="23">
        <v>0</v>
      </c>
      <c r="G25" s="23">
        <v>30</v>
      </c>
      <c r="H25" s="23">
        <v>0</v>
      </c>
      <c r="I25" s="23">
        <v>0</v>
      </c>
      <c r="J25" s="23">
        <f t="shared" si="23"/>
        <v>30</v>
      </c>
      <c r="K25" s="23">
        <v>0</v>
      </c>
      <c r="L25" s="23">
        <v>30</v>
      </c>
      <c r="M25" s="23">
        <v>0</v>
      </c>
      <c r="N25" s="23">
        <v>0</v>
      </c>
      <c r="O25" s="23">
        <f t="shared" si="24"/>
        <v>0</v>
      </c>
      <c r="P25" s="23">
        <f t="shared" ref="P25:S25" si="26">F25-K25</f>
        <v>0</v>
      </c>
      <c r="Q25" s="23">
        <f t="shared" si="26"/>
        <v>0</v>
      </c>
      <c r="R25" s="23">
        <f t="shared" si="26"/>
        <v>0</v>
      </c>
      <c r="S25" s="23">
        <f t="shared" si="26"/>
        <v>0</v>
      </c>
      <c r="T25" s="24" t="s">
        <v>28</v>
      </c>
      <c r="U25" s="24" t="s">
        <v>54</v>
      </c>
      <c r="V25" s="20" t="s">
        <v>55</v>
      </c>
      <c r="W25" s="20" t="s">
        <v>134</v>
      </c>
      <c r="X25" s="20" t="s">
        <v>76</v>
      </c>
      <c r="Y25" s="20" t="s">
        <v>58</v>
      </c>
      <c r="Z25" s="34" t="s">
        <v>129</v>
      </c>
      <c r="AA25" s="24" t="s">
        <v>34</v>
      </c>
      <c r="AB25" s="20" t="s">
        <v>66</v>
      </c>
      <c r="AC25" s="20" t="s">
        <v>67</v>
      </c>
    </row>
    <row r="26" s="5" customFormat="1" ht="67.5" spans="1:29">
      <c r="A26" s="20">
        <v>20</v>
      </c>
      <c r="B26" s="20" t="s">
        <v>135</v>
      </c>
      <c r="C26" s="24" t="s">
        <v>136</v>
      </c>
      <c r="D26" s="20" t="s">
        <v>70</v>
      </c>
      <c r="E26" s="22">
        <f t="shared" si="2"/>
        <v>30</v>
      </c>
      <c r="F26" s="23">
        <v>0</v>
      </c>
      <c r="G26" s="23">
        <v>30</v>
      </c>
      <c r="H26" s="23">
        <v>0</v>
      </c>
      <c r="I26" s="23">
        <v>0</v>
      </c>
      <c r="J26" s="23">
        <f t="shared" si="23"/>
        <v>30</v>
      </c>
      <c r="K26" s="23">
        <v>0</v>
      </c>
      <c r="L26" s="23">
        <v>30</v>
      </c>
      <c r="M26" s="23">
        <v>0</v>
      </c>
      <c r="N26" s="23">
        <v>0</v>
      </c>
      <c r="O26" s="23">
        <f t="shared" si="24"/>
        <v>0</v>
      </c>
      <c r="P26" s="23">
        <f t="shared" ref="P26:S26" si="27">F26-K26</f>
        <v>0</v>
      </c>
      <c r="Q26" s="23">
        <f t="shared" si="27"/>
        <v>0</v>
      </c>
      <c r="R26" s="23">
        <f t="shared" si="27"/>
        <v>0</v>
      </c>
      <c r="S26" s="23">
        <f t="shared" si="27"/>
        <v>0</v>
      </c>
      <c r="T26" s="24" t="s">
        <v>28</v>
      </c>
      <c r="U26" s="24" t="s">
        <v>54</v>
      </c>
      <c r="V26" s="20" t="s">
        <v>55</v>
      </c>
      <c r="W26" s="20" t="s">
        <v>134</v>
      </c>
      <c r="X26" s="20" t="s">
        <v>76</v>
      </c>
      <c r="Y26" s="20" t="s">
        <v>58</v>
      </c>
      <c r="Z26" s="34" t="s">
        <v>129</v>
      </c>
      <c r="AA26" s="24" t="s">
        <v>34</v>
      </c>
      <c r="AB26" s="20" t="s">
        <v>66</v>
      </c>
      <c r="AC26" s="20" t="s">
        <v>67</v>
      </c>
    </row>
    <row r="27" s="5" customFormat="1" ht="67.5" spans="1:29">
      <c r="A27" s="20">
        <v>21</v>
      </c>
      <c r="B27" s="20" t="s">
        <v>137</v>
      </c>
      <c r="C27" s="24" t="s">
        <v>138</v>
      </c>
      <c r="D27" s="20" t="s">
        <v>70</v>
      </c>
      <c r="E27" s="22">
        <f t="shared" si="2"/>
        <v>30</v>
      </c>
      <c r="F27" s="23">
        <v>0</v>
      </c>
      <c r="G27" s="23">
        <v>30</v>
      </c>
      <c r="H27" s="23">
        <v>0</v>
      </c>
      <c r="I27" s="23">
        <v>0</v>
      </c>
      <c r="J27" s="23">
        <f t="shared" si="23"/>
        <v>30</v>
      </c>
      <c r="K27" s="23">
        <v>0</v>
      </c>
      <c r="L27" s="23">
        <v>30</v>
      </c>
      <c r="M27" s="23">
        <v>0</v>
      </c>
      <c r="N27" s="23">
        <v>0</v>
      </c>
      <c r="O27" s="23">
        <f t="shared" si="24"/>
        <v>0</v>
      </c>
      <c r="P27" s="23">
        <f t="shared" ref="P27:S27" si="28">F27-K27</f>
        <v>0</v>
      </c>
      <c r="Q27" s="23">
        <f t="shared" si="28"/>
        <v>0</v>
      </c>
      <c r="R27" s="23">
        <f t="shared" si="28"/>
        <v>0</v>
      </c>
      <c r="S27" s="23">
        <f t="shared" si="28"/>
        <v>0</v>
      </c>
      <c r="T27" s="24" t="s">
        <v>28</v>
      </c>
      <c r="U27" s="24" t="s">
        <v>54</v>
      </c>
      <c r="V27" s="20" t="s">
        <v>55</v>
      </c>
      <c r="W27" s="20" t="s">
        <v>71</v>
      </c>
      <c r="X27" s="20" t="s">
        <v>72</v>
      </c>
      <c r="Y27" s="20" t="s">
        <v>58</v>
      </c>
      <c r="Z27" s="34" t="s">
        <v>129</v>
      </c>
      <c r="AA27" s="24" t="s">
        <v>34</v>
      </c>
      <c r="AB27" s="20" t="s">
        <v>66</v>
      </c>
      <c r="AC27" s="20" t="s">
        <v>67</v>
      </c>
    </row>
    <row r="28" s="5" customFormat="1" ht="76" customHeight="1" spans="1:29">
      <c r="A28" s="20">
        <v>22</v>
      </c>
      <c r="B28" s="20" t="s">
        <v>139</v>
      </c>
      <c r="C28" s="24" t="s">
        <v>140</v>
      </c>
      <c r="D28" s="20" t="s">
        <v>70</v>
      </c>
      <c r="E28" s="22">
        <f t="shared" si="2"/>
        <v>30</v>
      </c>
      <c r="F28" s="23">
        <v>0</v>
      </c>
      <c r="G28" s="23">
        <v>30</v>
      </c>
      <c r="H28" s="23">
        <v>0</v>
      </c>
      <c r="I28" s="23">
        <v>0</v>
      </c>
      <c r="J28" s="23">
        <f t="shared" si="23"/>
        <v>30</v>
      </c>
      <c r="K28" s="23">
        <v>0</v>
      </c>
      <c r="L28" s="23">
        <v>30</v>
      </c>
      <c r="M28" s="23">
        <v>0</v>
      </c>
      <c r="N28" s="23">
        <v>0</v>
      </c>
      <c r="O28" s="23">
        <f t="shared" si="24"/>
        <v>0</v>
      </c>
      <c r="P28" s="23">
        <f t="shared" ref="P28:S28" si="29">F28-K28</f>
        <v>0</v>
      </c>
      <c r="Q28" s="23">
        <f t="shared" si="29"/>
        <v>0</v>
      </c>
      <c r="R28" s="23">
        <f t="shared" si="29"/>
        <v>0</v>
      </c>
      <c r="S28" s="23">
        <f t="shared" si="29"/>
        <v>0</v>
      </c>
      <c r="T28" s="24" t="s">
        <v>28</v>
      </c>
      <c r="U28" s="24" t="s">
        <v>54</v>
      </c>
      <c r="V28" s="20" t="s">
        <v>55</v>
      </c>
      <c r="W28" s="20" t="s">
        <v>141</v>
      </c>
      <c r="X28" s="20" t="s">
        <v>72</v>
      </c>
      <c r="Y28" s="20" t="s">
        <v>58</v>
      </c>
      <c r="Z28" s="34" t="s">
        <v>129</v>
      </c>
      <c r="AA28" s="24" t="s">
        <v>34</v>
      </c>
      <c r="AB28" s="20" t="s">
        <v>66</v>
      </c>
      <c r="AC28" s="20" t="s">
        <v>67</v>
      </c>
    </row>
    <row r="29" s="5" customFormat="1" ht="80" customHeight="1" spans="1:29">
      <c r="A29" s="20">
        <v>23</v>
      </c>
      <c r="B29" s="20" t="s">
        <v>142</v>
      </c>
      <c r="C29" s="24" t="s">
        <v>143</v>
      </c>
      <c r="D29" s="20" t="s">
        <v>70</v>
      </c>
      <c r="E29" s="22">
        <f t="shared" si="2"/>
        <v>30</v>
      </c>
      <c r="F29" s="23">
        <v>0</v>
      </c>
      <c r="G29" s="23">
        <v>30</v>
      </c>
      <c r="H29" s="23">
        <v>0</v>
      </c>
      <c r="I29" s="23">
        <v>0</v>
      </c>
      <c r="J29" s="23">
        <f t="shared" si="23"/>
        <v>30</v>
      </c>
      <c r="K29" s="23">
        <v>0</v>
      </c>
      <c r="L29" s="23">
        <v>30</v>
      </c>
      <c r="M29" s="23">
        <v>0</v>
      </c>
      <c r="N29" s="23">
        <v>0</v>
      </c>
      <c r="O29" s="23">
        <f t="shared" si="24"/>
        <v>0</v>
      </c>
      <c r="P29" s="23">
        <f t="shared" ref="P29:S29" si="30">F29-K29</f>
        <v>0</v>
      </c>
      <c r="Q29" s="23">
        <f t="shared" si="30"/>
        <v>0</v>
      </c>
      <c r="R29" s="23">
        <f t="shared" si="30"/>
        <v>0</v>
      </c>
      <c r="S29" s="23">
        <f t="shared" si="30"/>
        <v>0</v>
      </c>
      <c r="T29" s="24" t="s">
        <v>28</v>
      </c>
      <c r="U29" s="24" t="s">
        <v>54</v>
      </c>
      <c r="V29" s="20" t="s">
        <v>55</v>
      </c>
      <c r="W29" s="20" t="s">
        <v>144</v>
      </c>
      <c r="X29" s="20" t="s">
        <v>145</v>
      </c>
      <c r="Y29" s="20" t="s">
        <v>41</v>
      </c>
      <c r="Z29" s="34" t="s">
        <v>129</v>
      </c>
      <c r="AA29" s="24" t="s">
        <v>34</v>
      </c>
      <c r="AB29" s="20" t="s">
        <v>66</v>
      </c>
      <c r="AC29" s="20" t="s">
        <v>67</v>
      </c>
    </row>
    <row r="30" s="5" customFormat="1" ht="75" customHeight="1" spans="1:29">
      <c r="A30" s="20">
        <v>24</v>
      </c>
      <c r="B30" s="20" t="s">
        <v>146</v>
      </c>
      <c r="C30" s="24" t="s">
        <v>147</v>
      </c>
      <c r="D30" s="20" t="s">
        <v>70</v>
      </c>
      <c r="E30" s="22">
        <f t="shared" si="2"/>
        <v>30</v>
      </c>
      <c r="F30" s="23">
        <v>0</v>
      </c>
      <c r="G30" s="23">
        <v>30</v>
      </c>
      <c r="H30" s="23">
        <v>0</v>
      </c>
      <c r="I30" s="23">
        <v>0</v>
      </c>
      <c r="J30" s="23">
        <f t="shared" si="23"/>
        <v>30</v>
      </c>
      <c r="K30" s="23">
        <v>0</v>
      </c>
      <c r="L30" s="27">
        <v>30</v>
      </c>
      <c r="M30" s="23">
        <v>0</v>
      </c>
      <c r="N30" s="23">
        <v>0</v>
      </c>
      <c r="O30" s="23">
        <f t="shared" si="24"/>
        <v>0</v>
      </c>
      <c r="P30" s="23">
        <f t="shared" ref="P30:S30" si="31">F30-K30</f>
        <v>0</v>
      </c>
      <c r="Q30" s="23">
        <f t="shared" si="31"/>
        <v>0</v>
      </c>
      <c r="R30" s="23">
        <f t="shared" si="31"/>
        <v>0</v>
      </c>
      <c r="S30" s="23">
        <f t="shared" si="31"/>
        <v>0</v>
      </c>
      <c r="T30" s="24" t="s">
        <v>28</v>
      </c>
      <c r="U30" s="24" t="s">
        <v>54</v>
      </c>
      <c r="V30" s="20" t="s">
        <v>55</v>
      </c>
      <c r="W30" s="20" t="s">
        <v>148</v>
      </c>
      <c r="X30" s="20" t="s">
        <v>149</v>
      </c>
      <c r="Y30" s="20" t="s">
        <v>41</v>
      </c>
      <c r="Z30" s="34" t="s">
        <v>129</v>
      </c>
      <c r="AA30" s="24" t="s">
        <v>34</v>
      </c>
      <c r="AB30" s="20" t="s">
        <v>66</v>
      </c>
      <c r="AC30" s="20" t="s">
        <v>67</v>
      </c>
    </row>
    <row r="31" s="5" customFormat="1" ht="94.5" spans="1:29">
      <c r="A31" s="20">
        <v>25</v>
      </c>
      <c r="B31" s="20" t="s">
        <v>150</v>
      </c>
      <c r="C31" s="24" t="s">
        <v>151</v>
      </c>
      <c r="D31" s="21" t="s">
        <v>152</v>
      </c>
      <c r="E31" s="22">
        <f t="shared" si="2"/>
        <v>51.24</v>
      </c>
      <c r="F31" s="23">
        <v>0</v>
      </c>
      <c r="G31" s="23">
        <v>51.09</v>
      </c>
      <c r="H31" s="23">
        <v>0.15</v>
      </c>
      <c r="I31" s="23">
        <v>0</v>
      </c>
      <c r="J31" s="23">
        <f t="shared" si="23"/>
        <v>51.24</v>
      </c>
      <c r="K31" s="23">
        <v>0</v>
      </c>
      <c r="L31" s="27">
        <v>51.09</v>
      </c>
      <c r="M31" s="23">
        <v>0.15</v>
      </c>
      <c r="N31" s="23">
        <v>0</v>
      </c>
      <c r="O31" s="23">
        <f t="shared" si="24"/>
        <v>0</v>
      </c>
      <c r="P31" s="23">
        <f t="shared" ref="P31:S31" si="32">F31-K31</f>
        <v>0</v>
      </c>
      <c r="Q31" s="23">
        <f t="shared" si="32"/>
        <v>0</v>
      </c>
      <c r="R31" s="23">
        <f t="shared" si="32"/>
        <v>0</v>
      </c>
      <c r="S31" s="23">
        <f t="shared" si="32"/>
        <v>0</v>
      </c>
      <c r="T31" s="24" t="s">
        <v>90</v>
      </c>
      <c r="U31" s="24" t="s">
        <v>91</v>
      </c>
      <c r="V31" s="20" t="s">
        <v>92</v>
      </c>
      <c r="W31" s="20" t="s">
        <v>93</v>
      </c>
      <c r="X31" s="20" t="s">
        <v>94</v>
      </c>
      <c r="Y31" s="20" t="s">
        <v>58</v>
      </c>
      <c r="Z31" s="34" t="s">
        <v>153</v>
      </c>
      <c r="AA31" s="24" t="s">
        <v>154</v>
      </c>
      <c r="AB31" s="20" t="s">
        <v>95</v>
      </c>
      <c r="AC31" s="20" t="s">
        <v>96</v>
      </c>
    </row>
    <row r="32" s="5" customFormat="1" ht="77" customHeight="1" spans="1:29">
      <c r="A32" s="20">
        <v>26</v>
      </c>
      <c r="B32" s="20" t="s">
        <v>155</v>
      </c>
      <c r="C32" s="20" t="s">
        <v>156</v>
      </c>
      <c r="D32" s="20" t="s">
        <v>157</v>
      </c>
      <c r="E32" s="22">
        <f t="shared" si="2"/>
        <v>46.65</v>
      </c>
      <c r="F32" s="23">
        <v>0</v>
      </c>
      <c r="G32" s="23">
        <v>0</v>
      </c>
      <c r="H32" s="23">
        <v>0</v>
      </c>
      <c r="I32" s="28">
        <v>46.65</v>
      </c>
      <c r="J32" s="23">
        <f t="shared" si="23"/>
        <v>46.641285</v>
      </c>
      <c r="K32" s="23">
        <v>0</v>
      </c>
      <c r="L32" s="23">
        <v>0</v>
      </c>
      <c r="M32" s="23">
        <v>0</v>
      </c>
      <c r="N32" s="23">
        <f>20+26.641285</f>
        <v>46.641285</v>
      </c>
      <c r="O32" s="23">
        <f t="shared" si="24"/>
        <v>0.00871500000000225</v>
      </c>
      <c r="P32" s="23">
        <f t="shared" ref="P32:S32" si="33">F32-K32</f>
        <v>0</v>
      </c>
      <c r="Q32" s="23">
        <f t="shared" si="33"/>
        <v>0</v>
      </c>
      <c r="R32" s="23">
        <f t="shared" si="33"/>
        <v>0</v>
      </c>
      <c r="S32" s="23">
        <f t="shared" si="33"/>
        <v>0.00871500000000225</v>
      </c>
      <c r="T32" s="24" t="s">
        <v>28</v>
      </c>
      <c r="U32" s="24" t="s">
        <v>158</v>
      </c>
      <c r="V32" s="20" t="s">
        <v>159</v>
      </c>
      <c r="W32" s="20" t="s">
        <v>160</v>
      </c>
      <c r="X32" s="20" t="s">
        <v>161</v>
      </c>
      <c r="Y32" s="20" t="s">
        <v>58</v>
      </c>
      <c r="Z32" s="34" t="s">
        <v>162</v>
      </c>
      <c r="AA32" s="24" t="s">
        <v>163</v>
      </c>
      <c r="AB32" s="24" t="s">
        <v>164</v>
      </c>
      <c r="AC32" s="24" t="s">
        <v>165</v>
      </c>
    </row>
    <row r="33" s="5" customFormat="1" ht="94.5" spans="1:29">
      <c r="A33" s="20">
        <v>27</v>
      </c>
      <c r="B33" s="20" t="s">
        <v>166</v>
      </c>
      <c r="C33" s="20" t="s">
        <v>167</v>
      </c>
      <c r="D33" s="20" t="s">
        <v>168</v>
      </c>
      <c r="E33" s="22">
        <f t="shared" si="2"/>
        <v>60.22</v>
      </c>
      <c r="F33" s="23">
        <v>0</v>
      </c>
      <c r="G33" s="23">
        <v>0</v>
      </c>
      <c r="H33" s="23">
        <v>0</v>
      </c>
      <c r="I33" s="28">
        <v>60.22</v>
      </c>
      <c r="J33" s="23">
        <f t="shared" si="23"/>
        <v>45.032084</v>
      </c>
      <c r="K33" s="23">
        <v>0</v>
      </c>
      <c r="L33" s="27">
        <v>0</v>
      </c>
      <c r="M33" s="23">
        <v>0</v>
      </c>
      <c r="N33" s="23">
        <v>45.032084</v>
      </c>
      <c r="O33" s="23">
        <f t="shared" si="24"/>
        <v>15.187916</v>
      </c>
      <c r="P33" s="23">
        <f t="shared" ref="P33:S33" si="34">F33-K33</f>
        <v>0</v>
      </c>
      <c r="Q33" s="23">
        <f t="shared" si="34"/>
        <v>0</v>
      </c>
      <c r="R33" s="23">
        <f t="shared" si="34"/>
        <v>0</v>
      </c>
      <c r="S33" s="23">
        <f t="shared" si="34"/>
        <v>15.187916</v>
      </c>
      <c r="T33" s="24" t="s">
        <v>28</v>
      </c>
      <c r="U33" s="24" t="s">
        <v>158</v>
      </c>
      <c r="V33" s="20" t="s">
        <v>159</v>
      </c>
      <c r="W33" s="20" t="s">
        <v>169</v>
      </c>
      <c r="X33" s="20" t="s">
        <v>170</v>
      </c>
      <c r="Y33" s="20" t="s">
        <v>58</v>
      </c>
      <c r="Z33" s="34" t="s">
        <v>162</v>
      </c>
      <c r="AA33" s="24" t="s">
        <v>163</v>
      </c>
      <c r="AB33" s="24" t="s">
        <v>164</v>
      </c>
      <c r="AC33" s="24" t="s">
        <v>171</v>
      </c>
    </row>
    <row r="34" s="5" customFormat="1" ht="94.5" spans="1:29">
      <c r="A34" s="20">
        <v>28</v>
      </c>
      <c r="B34" s="20" t="s">
        <v>172</v>
      </c>
      <c r="C34" s="20" t="s">
        <v>173</v>
      </c>
      <c r="D34" s="20" t="s">
        <v>174</v>
      </c>
      <c r="E34" s="22">
        <f t="shared" si="2"/>
        <v>45.37</v>
      </c>
      <c r="F34" s="23">
        <v>0</v>
      </c>
      <c r="G34" s="23">
        <v>0</v>
      </c>
      <c r="H34" s="23">
        <v>0</v>
      </c>
      <c r="I34" s="28">
        <v>45.37</v>
      </c>
      <c r="J34" s="23">
        <f t="shared" si="23"/>
        <v>40.37715</v>
      </c>
      <c r="K34" s="23">
        <v>0</v>
      </c>
      <c r="L34" s="23">
        <v>0</v>
      </c>
      <c r="M34" s="23">
        <v>0</v>
      </c>
      <c r="N34" s="23">
        <f>20+20.37715</f>
        <v>40.37715</v>
      </c>
      <c r="O34" s="23">
        <f t="shared" si="24"/>
        <v>4.99285</v>
      </c>
      <c r="P34" s="23">
        <f t="shared" ref="P34:S34" si="35">F34-K34</f>
        <v>0</v>
      </c>
      <c r="Q34" s="23">
        <f t="shared" si="35"/>
        <v>0</v>
      </c>
      <c r="R34" s="23">
        <f t="shared" si="35"/>
        <v>0</v>
      </c>
      <c r="S34" s="23">
        <f t="shared" si="35"/>
        <v>4.99285</v>
      </c>
      <c r="T34" s="24" t="s">
        <v>28</v>
      </c>
      <c r="U34" s="24" t="s">
        <v>158</v>
      </c>
      <c r="V34" s="20" t="s">
        <v>159</v>
      </c>
      <c r="W34" s="20" t="s">
        <v>160</v>
      </c>
      <c r="X34" s="20" t="s">
        <v>175</v>
      </c>
      <c r="Y34" s="20" t="s">
        <v>58</v>
      </c>
      <c r="Z34" s="34" t="s">
        <v>162</v>
      </c>
      <c r="AA34" s="24" t="s">
        <v>163</v>
      </c>
      <c r="AB34" s="24" t="s">
        <v>164</v>
      </c>
      <c r="AC34" s="24" t="s">
        <v>176</v>
      </c>
    </row>
    <row r="35" s="5" customFormat="1" ht="90" customHeight="1" spans="1:29">
      <c r="A35" s="20">
        <v>29</v>
      </c>
      <c r="B35" s="20" t="s">
        <v>177</v>
      </c>
      <c r="C35" s="20" t="s">
        <v>178</v>
      </c>
      <c r="D35" s="20" t="s">
        <v>179</v>
      </c>
      <c r="E35" s="22">
        <f t="shared" si="2"/>
        <v>24.6</v>
      </c>
      <c r="F35" s="23">
        <v>0</v>
      </c>
      <c r="G35" s="23">
        <v>0</v>
      </c>
      <c r="H35" s="23">
        <v>0</v>
      </c>
      <c r="I35" s="28">
        <v>24.6</v>
      </c>
      <c r="J35" s="23">
        <f t="shared" si="23"/>
        <v>21.5656</v>
      </c>
      <c r="K35" s="23">
        <v>0</v>
      </c>
      <c r="L35" s="27">
        <v>0</v>
      </c>
      <c r="M35" s="23">
        <v>0</v>
      </c>
      <c r="N35" s="23">
        <v>21.5656</v>
      </c>
      <c r="O35" s="23">
        <f t="shared" si="24"/>
        <v>3.0344</v>
      </c>
      <c r="P35" s="23">
        <f t="shared" ref="P35:S35" si="36">F35-K35</f>
        <v>0</v>
      </c>
      <c r="Q35" s="23">
        <f t="shared" si="36"/>
        <v>0</v>
      </c>
      <c r="R35" s="23">
        <f t="shared" si="36"/>
        <v>0</v>
      </c>
      <c r="S35" s="23">
        <f t="shared" si="36"/>
        <v>3.0344</v>
      </c>
      <c r="T35" s="24" t="s">
        <v>28</v>
      </c>
      <c r="U35" s="24" t="s">
        <v>158</v>
      </c>
      <c r="V35" s="20" t="s">
        <v>159</v>
      </c>
      <c r="W35" s="20" t="s">
        <v>169</v>
      </c>
      <c r="X35" s="20" t="s">
        <v>180</v>
      </c>
      <c r="Y35" s="20" t="s">
        <v>58</v>
      </c>
      <c r="Z35" s="34" t="s">
        <v>162</v>
      </c>
      <c r="AA35" s="24" t="s">
        <v>163</v>
      </c>
      <c r="AB35" s="24" t="s">
        <v>164</v>
      </c>
      <c r="AC35" s="24" t="s">
        <v>181</v>
      </c>
    </row>
    <row r="36" s="5" customFormat="1" ht="94.5" spans="1:29">
      <c r="A36" s="20">
        <v>30</v>
      </c>
      <c r="B36" s="20" t="s">
        <v>182</v>
      </c>
      <c r="C36" s="20" t="s">
        <v>183</v>
      </c>
      <c r="D36" s="20" t="s">
        <v>184</v>
      </c>
      <c r="E36" s="22">
        <f t="shared" si="2"/>
        <v>23.26</v>
      </c>
      <c r="F36" s="22">
        <v>0</v>
      </c>
      <c r="G36" s="22">
        <v>0</v>
      </c>
      <c r="H36" s="22">
        <v>0</v>
      </c>
      <c r="I36" s="29">
        <v>23.26</v>
      </c>
      <c r="J36" s="22">
        <f t="shared" si="23"/>
        <v>13.46484</v>
      </c>
      <c r="K36" s="22">
        <v>0</v>
      </c>
      <c r="L36" s="26">
        <v>0</v>
      </c>
      <c r="M36" s="22">
        <v>0</v>
      </c>
      <c r="N36" s="22">
        <f>13.46484</f>
        <v>13.46484</v>
      </c>
      <c r="O36" s="22">
        <f t="shared" si="24"/>
        <v>9.79516</v>
      </c>
      <c r="P36" s="22">
        <f t="shared" ref="P36:S36" si="37">F36-K36</f>
        <v>0</v>
      </c>
      <c r="Q36" s="22">
        <f t="shared" si="37"/>
        <v>0</v>
      </c>
      <c r="R36" s="22">
        <f t="shared" si="37"/>
        <v>0</v>
      </c>
      <c r="S36" s="22">
        <f t="shared" si="37"/>
        <v>9.79516</v>
      </c>
      <c r="T36" s="24" t="s">
        <v>28</v>
      </c>
      <c r="U36" s="24" t="s">
        <v>185</v>
      </c>
      <c r="V36" s="24" t="s">
        <v>186</v>
      </c>
      <c r="W36" s="24" t="s">
        <v>187</v>
      </c>
      <c r="X36" s="24" t="s">
        <v>188</v>
      </c>
      <c r="Y36" s="20" t="s">
        <v>58</v>
      </c>
      <c r="Z36" s="34" t="s">
        <v>162</v>
      </c>
      <c r="AA36" s="24" t="s">
        <v>163</v>
      </c>
      <c r="AB36" s="24" t="s">
        <v>189</v>
      </c>
      <c r="AC36" s="24" t="s">
        <v>190</v>
      </c>
    </row>
    <row r="37" s="5" customFormat="1" ht="94.5" spans="1:29">
      <c r="A37" s="20">
        <v>31</v>
      </c>
      <c r="B37" s="20" t="s">
        <v>191</v>
      </c>
      <c r="C37" s="20" t="s">
        <v>192</v>
      </c>
      <c r="D37" s="20" t="s">
        <v>193</v>
      </c>
      <c r="E37" s="22">
        <f t="shared" si="2"/>
        <v>2.67</v>
      </c>
      <c r="F37" s="22">
        <v>0</v>
      </c>
      <c r="G37" s="22">
        <v>0</v>
      </c>
      <c r="H37" s="22">
        <v>0</v>
      </c>
      <c r="I37" s="29">
        <v>2.67</v>
      </c>
      <c r="J37" s="22">
        <f t="shared" si="23"/>
        <v>2.4961</v>
      </c>
      <c r="K37" s="22">
        <v>0</v>
      </c>
      <c r="L37" s="26">
        <v>0</v>
      </c>
      <c r="M37" s="22">
        <v>0</v>
      </c>
      <c r="N37" s="22">
        <f>2.4961</f>
        <v>2.4961</v>
      </c>
      <c r="O37" s="22">
        <f t="shared" si="24"/>
        <v>0.1739</v>
      </c>
      <c r="P37" s="22">
        <f t="shared" ref="P37:S37" si="38">F37-K37</f>
        <v>0</v>
      </c>
      <c r="Q37" s="22">
        <f t="shared" si="38"/>
        <v>0</v>
      </c>
      <c r="R37" s="22">
        <f t="shared" si="38"/>
        <v>0</v>
      </c>
      <c r="S37" s="22">
        <f t="shared" si="38"/>
        <v>0.1739</v>
      </c>
      <c r="T37" s="24" t="s">
        <v>28</v>
      </c>
      <c r="U37" s="24" t="s">
        <v>185</v>
      </c>
      <c r="V37" s="24" t="s">
        <v>186</v>
      </c>
      <c r="W37" s="24" t="s">
        <v>187</v>
      </c>
      <c r="X37" s="24" t="s">
        <v>188</v>
      </c>
      <c r="Y37" s="20" t="s">
        <v>58</v>
      </c>
      <c r="Z37" s="34" t="s">
        <v>162</v>
      </c>
      <c r="AA37" s="24" t="s">
        <v>163</v>
      </c>
      <c r="AB37" s="24" t="s">
        <v>194</v>
      </c>
      <c r="AC37" s="24" t="s">
        <v>190</v>
      </c>
    </row>
    <row r="38" s="5" customFormat="1" ht="94.5" spans="1:29">
      <c r="A38" s="20">
        <v>32</v>
      </c>
      <c r="B38" s="20" t="s">
        <v>195</v>
      </c>
      <c r="C38" s="20" t="s">
        <v>196</v>
      </c>
      <c r="D38" s="20" t="s">
        <v>197</v>
      </c>
      <c r="E38" s="22">
        <f t="shared" si="2"/>
        <v>5.34</v>
      </c>
      <c r="F38" s="23">
        <v>0</v>
      </c>
      <c r="G38" s="23">
        <v>0</v>
      </c>
      <c r="H38" s="23">
        <v>0</v>
      </c>
      <c r="I38" s="28">
        <v>5.34</v>
      </c>
      <c r="J38" s="23">
        <f t="shared" si="23"/>
        <v>3.0575</v>
      </c>
      <c r="K38" s="23">
        <v>0</v>
      </c>
      <c r="L38" s="27">
        <v>0</v>
      </c>
      <c r="M38" s="23">
        <v>0</v>
      </c>
      <c r="N38" s="23">
        <f>2.67+0.3875</f>
        <v>3.0575</v>
      </c>
      <c r="O38" s="23">
        <f t="shared" si="24"/>
        <v>2.2825</v>
      </c>
      <c r="P38" s="23">
        <f t="shared" ref="P38:S38" si="39">F38-K38</f>
        <v>0</v>
      </c>
      <c r="Q38" s="23">
        <f t="shared" si="39"/>
        <v>0</v>
      </c>
      <c r="R38" s="23">
        <f t="shared" si="39"/>
        <v>0</v>
      </c>
      <c r="S38" s="23">
        <f t="shared" si="39"/>
        <v>2.2825</v>
      </c>
      <c r="T38" s="24" t="s">
        <v>28</v>
      </c>
      <c r="U38" s="24" t="s">
        <v>185</v>
      </c>
      <c r="V38" s="24" t="s">
        <v>186</v>
      </c>
      <c r="W38" s="24" t="s">
        <v>198</v>
      </c>
      <c r="X38" s="24" t="s">
        <v>199</v>
      </c>
      <c r="Y38" s="20" t="s">
        <v>58</v>
      </c>
      <c r="Z38" s="34" t="s">
        <v>162</v>
      </c>
      <c r="AA38" s="24" t="s">
        <v>163</v>
      </c>
      <c r="AB38" s="24" t="s">
        <v>200</v>
      </c>
      <c r="AC38" s="24" t="s">
        <v>60</v>
      </c>
    </row>
    <row r="39" s="5" customFormat="1" ht="94.5" spans="1:29">
      <c r="A39" s="20">
        <v>33</v>
      </c>
      <c r="B39" s="20" t="s">
        <v>201</v>
      </c>
      <c r="C39" s="20" t="s">
        <v>202</v>
      </c>
      <c r="D39" s="20" t="s">
        <v>203</v>
      </c>
      <c r="E39" s="22">
        <f t="shared" si="2"/>
        <v>53.48</v>
      </c>
      <c r="F39" s="22">
        <v>0</v>
      </c>
      <c r="G39" s="22">
        <v>0</v>
      </c>
      <c r="H39" s="22">
        <v>0</v>
      </c>
      <c r="I39" s="29">
        <v>53.48</v>
      </c>
      <c r="J39" s="22">
        <f t="shared" si="23"/>
        <v>39.96312</v>
      </c>
      <c r="K39" s="22">
        <v>0</v>
      </c>
      <c r="L39" s="26">
        <v>0</v>
      </c>
      <c r="M39" s="22">
        <v>0</v>
      </c>
      <c r="N39" s="22">
        <f>25+14.96312</f>
        <v>39.96312</v>
      </c>
      <c r="O39" s="22">
        <f t="shared" si="24"/>
        <v>13.51688</v>
      </c>
      <c r="P39" s="22">
        <f t="shared" ref="P39:S39" si="40">F39-K39</f>
        <v>0</v>
      </c>
      <c r="Q39" s="22">
        <f t="shared" si="40"/>
        <v>0</v>
      </c>
      <c r="R39" s="22">
        <f t="shared" si="40"/>
        <v>0</v>
      </c>
      <c r="S39" s="22">
        <f t="shared" si="40"/>
        <v>13.51688</v>
      </c>
      <c r="T39" s="24" t="s">
        <v>28</v>
      </c>
      <c r="U39" s="24" t="s">
        <v>185</v>
      </c>
      <c r="V39" s="24" t="s">
        <v>186</v>
      </c>
      <c r="W39" s="24" t="s">
        <v>204</v>
      </c>
      <c r="X39" s="24" t="s">
        <v>205</v>
      </c>
      <c r="Y39" s="20" t="s">
        <v>58</v>
      </c>
      <c r="Z39" s="34" t="s">
        <v>162</v>
      </c>
      <c r="AA39" s="24" t="s">
        <v>163</v>
      </c>
      <c r="AB39" s="24" t="s">
        <v>206</v>
      </c>
      <c r="AC39" s="24" t="s">
        <v>207</v>
      </c>
    </row>
    <row r="40" s="5" customFormat="1" ht="94.5" spans="1:29">
      <c r="A40" s="20">
        <v>34</v>
      </c>
      <c r="B40" s="20" t="s">
        <v>208</v>
      </c>
      <c r="C40" s="20" t="s">
        <v>209</v>
      </c>
      <c r="D40" s="20" t="s">
        <v>210</v>
      </c>
      <c r="E40" s="22">
        <f t="shared" si="2"/>
        <v>75.94</v>
      </c>
      <c r="F40" s="22">
        <v>0</v>
      </c>
      <c r="G40" s="22">
        <v>0</v>
      </c>
      <c r="H40" s="22">
        <v>0</v>
      </c>
      <c r="I40" s="29">
        <v>75.94</v>
      </c>
      <c r="J40" s="22">
        <f t="shared" si="23"/>
        <v>57.3883</v>
      </c>
      <c r="K40" s="22">
        <v>0</v>
      </c>
      <c r="L40" s="26">
        <v>0</v>
      </c>
      <c r="M40" s="22">
        <v>0</v>
      </c>
      <c r="N40" s="22">
        <f>37.9+19.4883</f>
        <v>57.3883</v>
      </c>
      <c r="O40" s="22">
        <f t="shared" si="24"/>
        <v>18.5517</v>
      </c>
      <c r="P40" s="22">
        <f t="shared" ref="P40:S40" si="41">F40-K40</f>
        <v>0</v>
      </c>
      <c r="Q40" s="22">
        <f t="shared" si="41"/>
        <v>0</v>
      </c>
      <c r="R40" s="22">
        <f t="shared" si="41"/>
        <v>0</v>
      </c>
      <c r="S40" s="22">
        <f t="shared" si="41"/>
        <v>18.5517</v>
      </c>
      <c r="T40" s="24" t="s">
        <v>28</v>
      </c>
      <c r="U40" s="24" t="s">
        <v>185</v>
      </c>
      <c r="V40" s="24" t="s">
        <v>186</v>
      </c>
      <c r="W40" s="24" t="s">
        <v>211</v>
      </c>
      <c r="X40" s="24" t="s">
        <v>212</v>
      </c>
      <c r="Y40" s="20" t="s">
        <v>58</v>
      </c>
      <c r="Z40" s="34" t="s">
        <v>162</v>
      </c>
      <c r="AA40" s="24" t="s">
        <v>163</v>
      </c>
      <c r="AB40" s="24" t="s">
        <v>213</v>
      </c>
      <c r="AC40" s="24" t="s">
        <v>214</v>
      </c>
    </row>
    <row r="41" s="5" customFormat="1" ht="94.5" spans="1:29">
      <c r="A41" s="20">
        <v>35</v>
      </c>
      <c r="B41" s="20" t="s">
        <v>215</v>
      </c>
      <c r="C41" s="20" t="s">
        <v>216</v>
      </c>
      <c r="D41" s="20" t="s">
        <v>217</v>
      </c>
      <c r="E41" s="22">
        <f t="shared" ref="E40:E71" si="42">F41+G41+H41+I41</f>
        <v>89.31</v>
      </c>
      <c r="F41" s="23">
        <v>0</v>
      </c>
      <c r="G41" s="23">
        <v>0</v>
      </c>
      <c r="H41" s="23">
        <v>0</v>
      </c>
      <c r="I41" s="28">
        <v>89.31</v>
      </c>
      <c r="J41" s="23">
        <f t="shared" si="23"/>
        <v>42.2799</v>
      </c>
      <c r="K41" s="23">
        <v>0</v>
      </c>
      <c r="L41" s="27">
        <v>0</v>
      </c>
      <c r="M41" s="23">
        <v>0</v>
      </c>
      <c r="N41" s="23">
        <f>40+2.2799</f>
        <v>42.2799</v>
      </c>
      <c r="O41" s="23">
        <f t="shared" si="24"/>
        <v>47.0301</v>
      </c>
      <c r="P41" s="23">
        <f t="shared" ref="P41:S41" si="43">F41-K41</f>
        <v>0</v>
      </c>
      <c r="Q41" s="23">
        <f t="shared" si="43"/>
        <v>0</v>
      </c>
      <c r="R41" s="23">
        <f t="shared" si="43"/>
        <v>0</v>
      </c>
      <c r="S41" s="23">
        <f t="shared" si="43"/>
        <v>47.0301</v>
      </c>
      <c r="T41" s="24" t="s">
        <v>28</v>
      </c>
      <c r="U41" s="24" t="s">
        <v>185</v>
      </c>
      <c r="V41" s="24" t="s">
        <v>186</v>
      </c>
      <c r="W41" s="24" t="s">
        <v>160</v>
      </c>
      <c r="X41" s="24" t="s">
        <v>218</v>
      </c>
      <c r="Y41" s="20" t="s">
        <v>58</v>
      </c>
      <c r="Z41" s="34" t="s">
        <v>162</v>
      </c>
      <c r="AA41" s="24" t="s">
        <v>163</v>
      </c>
      <c r="AB41" s="24" t="s">
        <v>219</v>
      </c>
      <c r="AC41" s="24" t="s">
        <v>214</v>
      </c>
    </row>
    <row r="42" s="5" customFormat="1" ht="94.5" spans="1:29">
      <c r="A42" s="20">
        <v>36</v>
      </c>
      <c r="B42" s="20" t="s">
        <v>220</v>
      </c>
      <c r="C42" s="20" t="s">
        <v>221</v>
      </c>
      <c r="D42" s="20" t="s">
        <v>222</v>
      </c>
      <c r="E42" s="22">
        <f t="shared" si="42"/>
        <v>32.08</v>
      </c>
      <c r="F42" s="23">
        <v>0</v>
      </c>
      <c r="G42" s="23">
        <v>0</v>
      </c>
      <c r="H42" s="23">
        <v>0</v>
      </c>
      <c r="I42" s="28">
        <v>32.08</v>
      </c>
      <c r="J42" s="23">
        <f t="shared" si="23"/>
        <v>29.99754</v>
      </c>
      <c r="K42" s="23">
        <v>0</v>
      </c>
      <c r="L42" s="27">
        <v>0</v>
      </c>
      <c r="M42" s="23">
        <v>0</v>
      </c>
      <c r="N42" s="23">
        <f>16+13.99754</f>
        <v>29.99754</v>
      </c>
      <c r="O42" s="23">
        <f t="shared" si="24"/>
        <v>2.08246</v>
      </c>
      <c r="P42" s="23">
        <f t="shared" ref="P42:S42" si="44">F42-K42</f>
        <v>0</v>
      </c>
      <c r="Q42" s="23">
        <f t="shared" si="44"/>
        <v>0</v>
      </c>
      <c r="R42" s="23">
        <f t="shared" si="44"/>
        <v>0</v>
      </c>
      <c r="S42" s="23">
        <f t="shared" si="44"/>
        <v>2.08246</v>
      </c>
      <c r="T42" s="24" t="s">
        <v>28</v>
      </c>
      <c r="U42" s="24" t="s">
        <v>185</v>
      </c>
      <c r="V42" s="24" t="s">
        <v>186</v>
      </c>
      <c r="W42" s="24" t="s">
        <v>223</v>
      </c>
      <c r="X42" s="24" t="s">
        <v>224</v>
      </c>
      <c r="Y42" s="20" t="s">
        <v>58</v>
      </c>
      <c r="Z42" s="34" t="s">
        <v>162</v>
      </c>
      <c r="AA42" s="24" t="s">
        <v>163</v>
      </c>
      <c r="AB42" s="24" t="s">
        <v>225</v>
      </c>
      <c r="AC42" s="24" t="s">
        <v>226</v>
      </c>
    </row>
    <row r="43" s="5" customFormat="1" ht="94.5" spans="1:29">
      <c r="A43" s="20">
        <v>37</v>
      </c>
      <c r="B43" s="20" t="s">
        <v>227</v>
      </c>
      <c r="C43" s="20" t="s">
        <v>228</v>
      </c>
      <c r="D43" s="20" t="s">
        <v>229</v>
      </c>
      <c r="E43" s="22">
        <f t="shared" si="42"/>
        <v>0.8</v>
      </c>
      <c r="F43" s="23">
        <v>0</v>
      </c>
      <c r="G43" s="23">
        <v>0</v>
      </c>
      <c r="H43" s="23">
        <v>0</v>
      </c>
      <c r="I43" s="28">
        <v>0.8</v>
      </c>
      <c r="J43" s="23">
        <f t="shared" si="23"/>
        <v>0.78145</v>
      </c>
      <c r="K43" s="23">
        <v>0</v>
      </c>
      <c r="L43" s="27">
        <v>0</v>
      </c>
      <c r="M43" s="23">
        <v>0</v>
      </c>
      <c r="N43" s="23">
        <f>0.4+0.38145</f>
        <v>0.78145</v>
      </c>
      <c r="O43" s="23">
        <f t="shared" si="24"/>
        <v>0.0185500000000001</v>
      </c>
      <c r="P43" s="23">
        <f t="shared" ref="P43:S43" si="45">F43-K43</f>
        <v>0</v>
      </c>
      <c r="Q43" s="23">
        <f t="shared" si="45"/>
        <v>0</v>
      </c>
      <c r="R43" s="23">
        <f t="shared" si="45"/>
        <v>0</v>
      </c>
      <c r="S43" s="23">
        <f t="shared" si="45"/>
        <v>0.0185500000000001</v>
      </c>
      <c r="T43" s="24" t="s">
        <v>28</v>
      </c>
      <c r="U43" s="24" t="s">
        <v>185</v>
      </c>
      <c r="V43" s="24" t="s">
        <v>186</v>
      </c>
      <c r="W43" s="24" t="s">
        <v>204</v>
      </c>
      <c r="X43" s="24" t="s">
        <v>230</v>
      </c>
      <c r="Y43" s="20" t="s">
        <v>231</v>
      </c>
      <c r="Z43" s="34" t="s">
        <v>162</v>
      </c>
      <c r="AA43" s="24" t="s">
        <v>163</v>
      </c>
      <c r="AB43" s="24" t="s">
        <v>232</v>
      </c>
      <c r="AC43" s="24" t="s">
        <v>207</v>
      </c>
    </row>
    <row r="44" s="5" customFormat="1" ht="94.5" spans="1:29">
      <c r="A44" s="20">
        <v>38</v>
      </c>
      <c r="B44" s="20" t="s">
        <v>233</v>
      </c>
      <c r="C44" s="20" t="s">
        <v>234</v>
      </c>
      <c r="D44" s="20" t="s">
        <v>235</v>
      </c>
      <c r="E44" s="22">
        <f t="shared" si="42"/>
        <v>5.65</v>
      </c>
      <c r="F44" s="23">
        <v>0</v>
      </c>
      <c r="G44" s="23">
        <v>0</v>
      </c>
      <c r="H44" s="23">
        <v>0</v>
      </c>
      <c r="I44" s="28">
        <v>5.65</v>
      </c>
      <c r="J44" s="23">
        <f t="shared" si="23"/>
        <v>4.62185</v>
      </c>
      <c r="K44" s="23">
        <v>0</v>
      </c>
      <c r="L44" s="27">
        <v>0</v>
      </c>
      <c r="M44" s="23">
        <v>0</v>
      </c>
      <c r="N44" s="23">
        <f>2.8+1.82185</f>
        <v>4.62185</v>
      </c>
      <c r="O44" s="23">
        <f t="shared" si="24"/>
        <v>1.02815</v>
      </c>
      <c r="P44" s="23">
        <f t="shared" ref="P44:S44" si="46">F44-K44</f>
        <v>0</v>
      </c>
      <c r="Q44" s="23">
        <f t="shared" si="46"/>
        <v>0</v>
      </c>
      <c r="R44" s="23">
        <f t="shared" si="46"/>
        <v>0</v>
      </c>
      <c r="S44" s="23">
        <f t="shared" si="46"/>
        <v>1.02815</v>
      </c>
      <c r="T44" s="24" t="s">
        <v>28</v>
      </c>
      <c r="U44" s="24" t="s">
        <v>185</v>
      </c>
      <c r="V44" s="24" t="s">
        <v>186</v>
      </c>
      <c r="W44" s="24" t="s">
        <v>204</v>
      </c>
      <c r="X44" s="24" t="s">
        <v>230</v>
      </c>
      <c r="Y44" s="20" t="s">
        <v>231</v>
      </c>
      <c r="Z44" s="34" t="s">
        <v>162</v>
      </c>
      <c r="AA44" s="24" t="s">
        <v>163</v>
      </c>
      <c r="AB44" s="24" t="s">
        <v>236</v>
      </c>
      <c r="AC44" s="24" t="s">
        <v>207</v>
      </c>
    </row>
    <row r="45" s="5" customFormat="1" ht="94.5" spans="1:29">
      <c r="A45" s="20">
        <v>39</v>
      </c>
      <c r="B45" s="20" t="s">
        <v>237</v>
      </c>
      <c r="C45" s="20" t="s">
        <v>238</v>
      </c>
      <c r="D45" s="20" t="s">
        <v>239</v>
      </c>
      <c r="E45" s="22">
        <f t="shared" si="42"/>
        <v>3.65</v>
      </c>
      <c r="F45" s="23">
        <v>0</v>
      </c>
      <c r="G45" s="23">
        <v>0</v>
      </c>
      <c r="H45" s="23">
        <v>0</v>
      </c>
      <c r="I45" s="28">
        <v>3.65</v>
      </c>
      <c r="J45" s="23">
        <f t="shared" si="23"/>
        <v>3.0905</v>
      </c>
      <c r="K45" s="23">
        <v>0</v>
      </c>
      <c r="L45" s="27">
        <v>0</v>
      </c>
      <c r="M45" s="23">
        <v>0</v>
      </c>
      <c r="N45" s="23">
        <f>1.8+1.2905</f>
        <v>3.0905</v>
      </c>
      <c r="O45" s="23">
        <f t="shared" si="24"/>
        <v>0.5595</v>
      </c>
      <c r="P45" s="23">
        <f t="shared" ref="P45:S45" si="47">F45-K45</f>
        <v>0</v>
      </c>
      <c r="Q45" s="23">
        <f t="shared" si="47"/>
        <v>0</v>
      </c>
      <c r="R45" s="23">
        <f t="shared" si="47"/>
        <v>0</v>
      </c>
      <c r="S45" s="23">
        <f t="shared" si="47"/>
        <v>0.5595</v>
      </c>
      <c r="T45" s="24" t="s">
        <v>28</v>
      </c>
      <c r="U45" s="24" t="s">
        <v>185</v>
      </c>
      <c r="V45" s="24" t="s">
        <v>186</v>
      </c>
      <c r="W45" s="24" t="s">
        <v>204</v>
      </c>
      <c r="X45" s="24" t="s">
        <v>230</v>
      </c>
      <c r="Y45" s="20" t="s">
        <v>231</v>
      </c>
      <c r="Z45" s="34" t="s">
        <v>162</v>
      </c>
      <c r="AA45" s="24" t="s">
        <v>163</v>
      </c>
      <c r="AB45" s="24" t="s">
        <v>240</v>
      </c>
      <c r="AC45" s="24" t="s">
        <v>207</v>
      </c>
    </row>
    <row r="46" s="5" customFormat="1" ht="94.5" spans="1:29">
      <c r="A46" s="20">
        <v>40</v>
      </c>
      <c r="B46" s="20" t="s">
        <v>241</v>
      </c>
      <c r="C46" s="20" t="s">
        <v>242</v>
      </c>
      <c r="D46" s="20" t="s">
        <v>243</v>
      </c>
      <c r="E46" s="22">
        <f t="shared" si="42"/>
        <v>6.85</v>
      </c>
      <c r="F46" s="23">
        <v>0</v>
      </c>
      <c r="G46" s="23">
        <v>0</v>
      </c>
      <c r="H46" s="23">
        <v>0</v>
      </c>
      <c r="I46" s="28">
        <v>6.85</v>
      </c>
      <c r="J46" s="23">
        <f t="shared" si="23"/>
        <v>5.2758</v>
      </c>
      <c r="K46" s="23">
        <v>0</v>
      </c>
      <c r="L46" s="27">
        <v>0</v>
      </c>
      <c r="M46" s="23">
        <v>0</v>
      </c>
      <c r="N46" s="23">
        <f>3.4+1.8758</f>
        <v>5.2758</v>
      </c>
      <c r="O46" s="23">
        <f t="shared" si="24"/>
        <v>1.5742</v>
      </c>
      <c r="P46" s="23">
        <f t="shared" ref="P46:S46" si="48">F46-K46</f>
        <v>0</v>
      </c>
      <c r="Q46" s="23">
        <f t="shared" si="48"/>
        <v>0</v>
      </c>
      <c r="R46" s="23">
        <f t="shared" si="48"/>
        <v>0</v>
      </c>
      <c r="S46" s="23">
        <f t="shared" si="48"/>
        <v>1.5742</v>
      </c>
      <c r="T46" s="24" t="s">
        <v>28</v>
      </c>
      <c r="U46" s="24" t="s">
        <v>185</v>
      </c>
      <c r="V46" s="24" t="s">
        <v>186</v>
      </c>
      <c r="W46" s="24" t="s">
        <v>204</v>
      </c>
      <c r="X46" s="24" t="s">
        <v>230</v>
      </c>
      <c r="Y46" s="20" t="s">
        <v>231</v>
      </c>
      <c r="Z46" s="34" t="s">
        <v>162</v>
      </c>
      <c r="AA46" s="24" t="s">
        <v>163</v>
      </c>
      <c r="AB46" s="24" t="s">
        <v>244</v>
      </c>
      <c r="AC46" s="24" t="s">
        <v>207</v>
      </c>
    </row>
    <row r="47" s="5" customFormat="1" ht="108" spans="1:29">
      <c r="A47" s="20">
        <v>41</v>
      </c>
      <c r="B47" s="20" t="s">
        <v>245</v>
      </c>
      <c r="C47" s="20" t="s">
        <v>246</v>
      </c>
      <c r="D47" s="20" t="s">
        <v>247</v>
      </c>
      <c r="E47" s="22">
        <f t="shared" si="42"/>
        <v>65.5</v>
      </c>
      <c r="F47" s="23">
        <v>0</v>
      </c>
      <c r="G47" s="23">
        <v>0</v>
      </c>
      <c r="H47" s="23">
        <v>0</v>
      </c>
      <c r="I47" s="28">
        <v>65.5</v>
      </c>
      <c r="J47" s="23">
        <f t="shared" si="23"/>
        <v>59.376579</v>
      </c>
      <c r="K47" s="23">
        <v>0</v>
      </c>
      <c r="L47" s="27">
        <v>0</v>
      </c>
      <c r="M47" s="23">
        <v>0</v>
      </c>
      <c r="N47" s="23">
        <v>59.376579</v>
      </c>
      <c r="O47" s="23">
        <f t="shared" si="24"/>
        <v>6.123421</v>
      </c>
      <c r="P47" s="23">
        <f t="shared" ref="P47:S47" si="49">F47-K47</f>
        <v>0</v>
      </c>
      <c r="Q47" s="23">
        <f t="shared" si="49"/>
        <v>0</v>
      </c>
      <c r="R47" s="23">
        <f t="shared" si="49"/>
        <v>0</v>
      </c>
      <c r="S47" s="23">
        <f t="shared" si="49"/>
        <v>6.123421</v>
      </c>
      <c r="T47" s="24" t="s">
        <v>28</v>
      </c>
      <c r="U47" s="24" t="s">
        <v>185</v>
      </c>
      <c r="V47" s="24" t="s">
        <v>186</v>
      </c>
      <c r="W47" s="24" t="s">
        <v>248</v>
      </c>
      <c r="X47" s="24" t="s">
        <v>249</v>
      </c>
      <c r="Y47" s="20" t="s">
        <v>231</v>
      </c>
      <c r="Z47" s="34" t="s">
        <v>162</v>
      </c>
      <c r="AA47" s="24" t="s">
        <v>163</v>
      </c>
      <c r="AB47" s="24" t="s">
        <v>250</v>
      </c>
      <c r="AC47" s="24" t="s">
        <v>251</v>
      </c>
    </row>
    <row r="48" s="5" customFormat="1" ht="94.5" spans="1:29">
      <c r="A48" s="20">
        <v>42</v>
      </c>
      <c r="B48" s="20" t="s">
        <v>252</v>
      </c>
      <c r="C48" s="20" t="s">
        <v>52</v>
      </c>
      <c r="D48" s="20" t="s">
        <v>253</v>
      </c>
      <c r="E48" s="22">
        <f t="shared" si="42"/>
        <v>5.3</v>
      </c>
      <c r="F48" s="23">
        <v>0</v>
      </c>
      <c r="G48" s="23">
        <v>0</v>
      </c>
      <c r="H48" s="23">
        <v>0</v>
      </c>
      <c r="I48" s="28">
        <v>5.3</v>
      </c>
      <c r="J48" s="23">
        <f t="shared" si="23"/>
        <v>5.29985</v>
      </c>
      <c r="K48" s="23">
        <v>0</v>
      </c>
      <c r="L48" s="27">
        <v>0</v>
      </c>
      <c r="M48" s="23">
        <v>0</v>
      </c>
      <c r="N48" s="23">
        <f>2.6+2.69985</f>
        <v>5.29985</v>
      </c>
      <c r="O48" s="23">
        <f t="shared" si="24"/>
        <v>0.00014999999999965</v>
      </c>
      <c r="P48" s="23">
        <f t="shared" ref="P48:S48" si="50">F48-K48</f>
        <v>0</v>
      </c>
      <c r="Q48" s="23">
        <f t="shared" si="50"/>
        <v>0</v>
      </c>
      <c r="R48" s="23">
        <f t="shared" si="50"/>
        <v>0</v>
      </c>
      <c r="S48" s="23">
        <f t="shared" si="50"/>
        <v>0.00014999999999965</v>
      </c>
      <c r="T48" s="24" t="s">
        <v>28</v>
      </c>
      <c r="U48" s="24" t="s">
        <v>185</v>
      </c>
      <c r="V48" s="24" t="s">
        <v>186</v>
      </c>
      <c r="W48" s="24" t="s">
        <v>204</v>
      </c>
      <c r="X48" s="24" t="s">
        <v>230</v>
      </c>
      <c r="Y48" s="20" t="s">
        <v>231</v>
      </c>
      <c r="Z48" s="34" t="s">
        <v>162</v>
      </c>
      <c r="AA48" s="24" t="s">
        <v>163</v>
      </c>
      <c r="AB48" s="24" t="s">
        <v>254</v>
      </c>
      <c r="AC48" s="24" t="s">
        <v>207</v>
      </c>
    </row>
    <row r="49" s="5" customFormat="1" ht="94.5" spans="1:29">
      <c r="A49" s="20">
        <v>43</v>
      </c>
      <c r="B49" s="20" t="s">
        <v>255</v>
      </c>
      <c r="C49" s="20" t="s">
        <v>256</v>
      </c>
      <c r="D49" s="20" t="s">
        <v>239</v>
      </c>
      <c r="E49" s="22">
        <f t="shared" si="42"/>
        <v>3.65</v>
      </c>
      <c r="F49" s="23">
        <v>0</v>
      </c>
      <c r="G49" s="23">
        <v>0</v>
      </c>
      <c r="H49" s="23">
        <v>0</v>
      </c>
      <c r="I49" s="28">
        <v>3.65</v>
      </c>
      <c r="J49" s="23">
        <f t="shared" si="23"/>
        <v>3.04</v>
      </c>
      <c r="K49" s="23">
        <v>0</v>
      </c>
      <c r="L49" s="27">
        <v>0</v>
      </c>
      <c r="M49" s="23">
        <v>0</v>
      </c>
      <c r="N49" s="23">
        <f>1.8+1.24</f>
        <v>3.04</v>
      </c>
      <c r="O49" s="23">
        <f t="shared" si="24"/>
        <v>0.61</v>
      </c>
      <c r="P49" s="23">
        <f t="shared" ref="P49:S49" si="51">F49-K49</f>
        <v>0</v>
      </c>
      <c r="Q49" s="23">
        <f t="shared" si="51"/>
        <v>0</v>
      </c>
      <c r="R49" s="23">
        <f t="shared" si="51"/>
        <v>0</v>
      </c>
      <c r="S49" s="23">
        <f t="shared" si="51"/>
        <v>0.61</v>
      </c>
      <c r="T49" s="24" t="s">
        <v>28</v>
      </c>
      <c r="U49" s="24" t="s">
        <v>185</v>
      </c>
      <c r="V49" s="24" t="s">
        <v>186</v>
      </c>
      <c r="W49" s="24" t="s">
        <v>257</v>
      </c>
      <c r="X49" s="24" t="s">
        <v>230</v>
      </c>
      <c r="Y49" s="20" t="s">
        <v>231</v>
      </c>
      <c r="Z49" s="34" t="s">
        <v>162</v>
      </c>
      <c r="AA49" s="24" t="s">
        <v>163</v>
      </c>
      <c r="AB49" s="24" t="s">
        <v>258</v>
      </c>
      <c r="AC49" s="35" t="s">
        <v>259</v>
      </c>
    </row>
    <row r="50" s="5" customFormat="1" ht="94.5" spans="1:29">
      <c r="A50" s="20">
        <v>44</v>
      </c>
      <c r="B50" s="20" t="s">
        <v>260</v>
      </c>
      <c r="C50" s="20" t="s">
        <v>261</v>
      </c>
      <c r="D50" s="20" t="s">
        <v>262</v>
      </c>
      <c r="E50" s="22">
        <f t="shared" si="42"/>
        <v>9.05</v>
      </c>
      <c r="F50" s="23">
        <v>0</v>
      </c>
      <c r="G50" s="23">
        <v>0</v>
      </c>
      <c r="H50" s="23">
        <v>0</v>
      </c>
      <c r="I50" s="28">
        <v>9.05</v>
      </c>
      <c r="J50" s="23">
        <f t="shared" si="23"/>
        <v>8.93305</v>
      </c>
      <c r="K50" s="23">
        <v>0</v>
      </c>
      <c r="L50" s="27">
        <v>0</v>
      </c>
      <c r="M50" s="23">
        <v>0</v>
      </c>
      <c r="N50" s="23">
        <f>4.5+4.43305</f>
        <v>8.93305</v>
      </c>
      <c r="O50" s="23">
        <f t="shared" si="24"/>
        <v>0.116950000000001</v>
      </c>
      <c r="P50" s="23">
        <f t="shared" ref="P50:S50" si="52">F50-K50</f>
        <v>0</v>
      </c>
      <c r="Q50" s="23">
        <f t="shared" si="52"/>
        <v>0</v>
      </c>
      <c r="R50" s="23">
        <f t="shared" si="52"/>
        <v>0</v>
      </c>
      <c r="S50" s="23">
        <f t="shared" si="52"/>
        <v>0.116950000000001</v>
      </c>
      <c r="T50" s="24" t="s">
        <v>28</v>
      </c>
      <c r="U50" s="24" t="s">
        <v>185</v>
      </c>
      <c r="V50" s="24" t="s">
        <v>186</v>
      </c>
      <c r="W50" s="24" t="s">
        <v>257</v>
      </c>
      <c r="X50" s="24" t="s">
        <v>230</v>
      </c>
      <c r="Y50" s="20" t="s">
        <v>231</v>
      </c>
      <c r="Z50" s="34" t="s">
        <v>162</v>
      </c>
      <c r="AA50" s="24" t="s">
        <v>163</v>
      </c>
      <c r="AB50" s="24" t="s">
        <v>263</v>
      </c>
      <c r="AC50" s="35" t="s">
        <v>264</v>
      </c>
    </row>
    <row r="51" s="5" customFormat="1" ht="94.5" spans="1:29">
      <c r="A51" s="20">
        <v>45</v>
      </c>
      <c r="B51" s="20" t="s">
        <v>265</v>
      </c>
      <c r="C51" s="20" t="s">
        <v>266</v>
      </c>
      <c r="D51" s="20" t="s">
        <v>239</v>
      </c>
      <c r="E51" s="22">
        <f t="shared" si="42"/>
        <v>3.7</v>
      </c>
      <c r="F51" s="23">
        <v>0</v>
      </c>
      <c r="G51" s="23">
        <v>0</v>
      </c>
      <c r="H51" s="23">
        <v>0</v>
      </c>
      <c r="I51" s="28">
        <v>3.7</v>
      </c>
      <c r="J51" s="23">
        <f t="shared" si="23"/>
        <v>3.27</v>
      </c>
      <c r="K51" s="23">
        <v>0</v>
      </c>
      <c r="L51" s="27">
        <v>0</v>
      </c>
      <c r="M51" s="23">
        <v>0</v>
      </c>
      <c r="N51" s="23">
        <f>1.9+1.37</f>
        <v>3.27</v>
      </c>
      <c r="O51" s="23">
        <f t="shared" si="24"/>
        <v>0.43</v>
      </c>
      <c r="P51" s="23">
        <f t="shared" ref="P51:S51" si="53">F51-K51</f>
        <v>0</v>
      </c>
      <c r="Q51" s="23">
        <f t="shared" si="53"/>
        <v>0</v>
      </c>
      <c r="R51" s="23">
        <f t="shared" si="53"/>
        <v>0</v>
      </c>
      <c r="S51" s="23">
        <f t="shared" si="53"/>
        <v>0.43</v>
      </c>
      <c r="T51" s="24" t="s">
        <v>28</v>
      </c>
      <c r="U51" s="24" t="s">
        <v>185</v>
      </c>
      <c r="V51" s="24" t="s">
        <v>186</v>
      </c>
      <c r="W51" s="24" t="s">
        <v>257</v>
      </c>
      <c r="X51" s="24" t="s">
        <v>230</v>
      </c>
      <c r="Y51" s="20" t="s">
        <v>231</v>
      </c>
      <c r="Z51" s="34" t="s">
        <v>162</v>
      </c>
      <c r="AA51" s="24" t="s">
        <v>163</v>
      </c>
      <c r="AB51" s="24" t="s">
        <v>267</v>
      </c>
      <c r="AC51" s="35" t="s">
        <v>268</v>
      </c>
    </row>
    <row r="52" s="5" customFormat="1" ht="94.5" spans="1:29">
      <c r="A52" s="20">
        <v>46</v>
      </c>
      <c r="B52" s="20" t="s">
        <v>269</v>
      </c>
      <c r="C52" s="20" t="s">
        <v>270</v>
      </c>
      <c r="D52" s="20" t="s">
        <v>239</v>
      </c>
      <c r="E52" s="22">
        <f t="shared" si="42"/>
        <v>3.65</v>
      </c>
      <c r="F52" s="23">
        <v>0</v>
      </c>
      <c r="G52" s="23">
        <v>0</v>
      </c>
      <c r="H52" s="23">
        <v>0</v>
      </c>
      <c r="I52" s="28">
        <v>3.65</v>
      </c>
      <c r="J52" s="23">
        <f t="shared" si="23"/>
        <v>3.105</v>
      </c>
      <c r="K52" s="23">
        <v>0</v>
      </c>
      <c r="L52" s="27">
        <v>0</v>
      </c>
      <c r="M52" s="23">
        <v>0</v>
      </c>
      <c r="N52" s="23">
        <f>1.8+1.305</f>
        <v>3.105</v>
      </c>
      <c r="O52" s="23">
        <f t="shared" si="24"/>
        <v>0.545</v>
      </c>
      <c r="P52" s="23">
        <f t="shared" ref="P52:S52" si="54">F52-K52</f>
        <v>0</v>
      </c>
      <c r="Q52" s="23">
        <f t="shared" si="54"/>
        <v>0</v>
      </c>
      <c r="R52" s="23">
        <f t="shared" si="54"/>
        <v>0</v>
      </c>
      <c r="S52" s="23">
        <f t="shared" si="54"/>
        <v>0.545</v>
      </c>
      <c r="T52" s="24" t="s">
        <v>28</v>
      </c>
      <c r="U52" s="24" t="s">
        <v>185</v>
      </c>
      <c r="V52" s="24" t="s">
        <v>186</v>
      </c>
      <c r="W52" s="24" t="s">
        <v>257</v>
      </c>
      <c r="X52" s="24" t="s">
        <v>230</v>
      </c>
      <c r="Y52" s="20" t="s">
        <v>231</v>
      </c>
      <c r="Z52" s="34" t="s">
        <v>162</v>
      </c>
      <c r="AA52" s="24" t="s">
        <v>163</v>
      </c>
      <c r="AB52" s="36" t="s">
        <v>271</v>
      </c>
      <c r="AC52" s="35" t="s">
        <v>272</v>
      </c>
    </row>
    <row r="53" s="5" customFormat="1" ht="108" spans="1:29">
      <c r="A53" s="20">
        <v>47</v>
      </c>
      <c r="B53" s="20" t="s">
        <v>273</v>
      </c>
      <c r="C53" s="20" t="s">
        <v>78</v>
      </c>
      <c r="D53" s="20" t="s">
        <v>274</v>
      </c>
      <c r="E53" s="22">
        <f t="shared" si="42"/>
        <v>8.3</v>
      </c>
      <c r="F53" s="23">
        <v>0</v>
      </c>
      <c r="G53" s="23">
        <v>0</v>
      </c>
      <c r="H53" s="23">
        <v>0</v>
      </c>
      <c r="I53" s="28">
        <v>8.3</v>
      </c>
      <c r="J53" s="23">
        <f t="shared" si="23"/>
        <v>7.3474</v>
      </c>
      <c r="K53" s="23">
        <v>0</v>
      </c>
      <c r="L53" s="27">
        <v>0</v>
      </c>
      <c r="M53" s="23">
        <v>0</v>
      </c>
      <c r="N53" s="23">
        <f>4+3.3474</f>
        <v>7.3474</v>
      </c>
      <c r="O53" s="23">
        <f t="shared" si="24"/>
        <v>0.9526</v>
      </c>
      <c r="P53" s="23">
        <f t="shared" ref="P53:S53" si="55">F53-K53</f>
        <v>0</v>
      </c>
      <c r="Q53" s="23">
        <f t="shared" si="55"/>
        <v>0</v>
      </c>
      <c r="R53" s="23">
        <f t="shared" si="55"/>
        <v>0</v>
      </c>
      <c r="S53" s="23">
        <f t="shared" si="55"/>
        <v>0.9526</v>
      </c>
      <c r="T53" s="24" t="s">
        <v>28</v>
      </c>
      <c r="U53" s="24" t="s">
        <v>185</v>
      </c>
      <c r="V53" s="24" t="s">
        <v>186</v>
      </c>
      <c r="W53" s="24" t="s">
        <v>257</v>
      </c>
      <c r="X53" s="24" t="s">
        <v>230</v>
      </c>
      <c r="Y53" s="20" t="s">
        <v>231</v>
      </c>
      <c r="Z53" s="34" t="s">
        <v>162</v>
      </c>
      <c r="AA53" s="24" t="s">
        <v>163</v>
      </c>
      <c r="AB53" s="36" t="s">
        <v>275</v>
      </c>
      <c r="AC53" s="35" t="s">
        <v>276</v>
      </c>
    </row>
    <row r="54" s="5" customFormat="1" ht="94.5" spans="1:29">
      <c r="A54" s="20">
        <v>48</v>
      </c>
      <c r="B54" s="20" t="s">
        <v>277</v>
      </c>
      <c r="C54" s="20" t="s">
        <v>278</v>
      </c>
      <c r="D54" s="20" t="s">
        <v>279</v>
      </c>
      <c r="E54" s="22">
        <f t="shared" si="42"/>
        <v>2.7</v>
      </c>
      <c r="F54" s="23">
        <v>0</v>
      </c>
      <c r="G54" s="23">
        <v>0</v>
      </c>
      <c r="H54" s="23">
        <v>0</v>
      </c>
      <c r="I54" s="28">
        <v>2.7</v>
      </c>
      <c r="J54" s="23">
        <f t="shared" si="23"/>
        <v>2.7</v>
      </c>
      <c r="K54" s="23">
        <v>0</v>
      </c>
      <c r="L54" s="27">
        <v>0</v>
      </c>
      <c r="M54" s="23">
        <v>0</v>
      </c>
      <c r="N54" s="23">
        <v>2.7</v>
      </c>
      <c r="O54" s="23">
        <f t="shared" si="24"/>
        <v>0</v>
      </c>
      <c r="P54" s="23">
        <f t="shared" ref="P54:S54" si="56">F54-K54</f>
        <v>0</v>
      </c>
      <c r="Q54" s="23">
        <f t="shared" si="56"/>
        <v>0</v>
      </c>
      <c r="R54" s="23">
        <f t="shared" si="56"/>
        <v>0</v>
      </c>
      <c r="S54" s="23">
        <f t="shared" si="56"/>
        <v>0</v>
      </c>
      <c r="T54" s="24" t="s">
        <v>28</v>
      </c>
      <c r="U54" s="24" t="s">
        <v>185</v>
      </c>
      <c r="V54" s="24" t="s">
        <v>186</v>
      </c>
      <c r="W54" s="24" t="s">
        <v>280</v>
      </c>
      <c r="X54" s="24" t="s">
        <v>281</v>
      </c>
      <c r="Y54" s="20" t="s">
        <v>231</v>
      </c>
      <c r="Z54" s="34" t="s">
        <v>162</v>
      </c>
      <c r="AA54" s="24" t="s">
        <v>163</v>
      </c>
      <c r="AB54" s="24" t="s">
        <v>282</v>
      </c>
      <c r="AC54" s="24" t="s">
        <v>283</v>
      </c>
    </row>
    <row r="55" s="5" customFormat="1" ht="105" customHeight="1" spans="1:29">
      <c r="A55" s="20">
        <v>49</v>
      </c>
      <c r="B55" s="20" t="s">
        <v>284</v>
      </c>
      <c r="C55" s="20" t="s">
        <v>285</v>
      </c>
      <c r="D55" s="20" t="s">
        <v>286</v>
      </c>
      <c r="E55" s="22">
        <f t="shared" si="42"/>
        <v>10.7</v>
      </c>
      <c r="F55" s="23">
        <v>0</v>
      </c>
      <c r="G55" s="23">
        <v>0</v>
      </c>
      <c r="H55" s="23">
        <v>0</v>
      </c>
      <c r="I55" s="28">
        <v>10.7</v>
      </c>
      <c r="J55" s="23">
        <f t="shared" si="23"/>
        <v>10.651949</v>
      </c>
      <c r="K55" s="23">
        <v>0</v>
      </c>
      <c r="L55" s="27">
        <v>0</v>
      </c>
      <c r="M55" s="23">
        <v>0</v>
      </c>
      <c r="N55" s="23">
        <v>10.651949</v>
      </c>
      <c r="O55" s="23">
        <f t="shared" si="24"/>
        <v>0.0480509999999992</v>
      </c>
      <c r="P55" s="23">
        <f t="shared" ref="P55:S55" si="57">F55-K55</f>
        <v>0</v>
      </c>
      <c r="Q55" s="23">
        <f t="shared" si="57"/>
        <v>0</v>
      </c>
      <c r="R55" s="23">
        <f t="shared" si="57"/>
        <v>0</v>
      </c>
      <c r="S55" s="23">
        <f t="shared" si="57"/>
        <v>0.0480509999999992</v>
      </c>
      <c r="T55" s="24" t="s">
        <v>28</v>
      </c>
      <c r="U55" s="24" t="s">
        <v>185</v>
      </c>
      <c r="V55" s="24" t="s">
        <v>186</v>
      </c>
      <c r="W55" s="24" t="s">
        <v>287</v>
      </c>
      <c r="X55" s="24" t="s">
        <v>281</v>
      </c>
      <c r="Y55" s="20" t="s">
        <v>231</v>
      </c>
      <c r="Z55" s="34" t="s">
        <v>162</v>
      </c>
      <c r="AA55" s="24" t="s">
        <v>163</v>
      </c>
      <c r="AB55" s="24" t="s">
        <v>288</v>
      </c>
      <c r="AC55" s="24" t="s">
        <v>60</v>
      </c>
    </row>
    <row r="56" s="5" customFormat="1" ht="67.5" spans="1:29">
      <c r="A56" s="20">
        <v>50</v>
      </c>
      <c r="B56" s="20" t="s">
        <v>289</v>
      </c>
      <c r="C56" s="20" t="s">
        <v>167</v>
      </c>
      <c r="D56" s="20" t="s">
        <v>290</v>
      </c>
      <c r="E56" s="22">
        <f t="shared" si="42"/>
        <v>15.8</v>
      </c>
      <c r="F56" s="23">
        <v>0</v>
      </c>
      <c r="G56" s="23">
        <v>0</v>
      </c>
      <c r="H56" s="23">
        <v>0</v>
      </c>
      <c r="I56" s="28">
        <v>15.8</v>
      </c>
      <c r="J56" s="23">
        <f t="shared" si="23"/>
        <v>14.29</v>
      </c>
      <c r="K56" s="23">
        <v>0</v>
      </c>
      <c r="L56" s="27">
        <v>0</v>
      </c>
      <c r="M56" s="23">
        <v>0</v>
      </c>
      <c r="N56" s="23">
        <f>7.9+6.39</f>
        <v>14.29</v>
      </c>
      <c r="O56" s="23">
        <f t="shared" si="24"/>
        <v>1.51</v>
      </c>
      <c r="P56" s="23">
        <f t="shared" ref="P56:S56" si="58">F56-K56</f>
        <v>0</v>
      </c>
      <c r="Q56" s="23">
        <f t="shared" si="58"/>
        <v>0</v>
      </c>
      <c r="R56" s="23">
        <f t="shared" si="58"/>
        <v>0</v>
      </c>
      <c r="S56" s="23">
        <f t="shared" si="58"/>
        <v>1.51</v>
      </c>
      <c r="T56" s="24" t="s">
        <v>28</v>
      </c>
      <c r="U56" s="24" t="s">
        <v>185</v>
      </c>
      <c r="V56" s="24" t="s">
        <v>186</v>
      </c>
      <c r="W56" s="24" t="s">
        <v>291</v>
      </c>
      <c r="X56" s="24" t="s">
        <v>292</v>
      </c>
      <c r="Y56" s="20" t="s">
        <v>231</v>
      </c>
      <c r="Z56" s="34" t="s">
        <v>162</v>
      </c>
      <c r="AA56" s="24" t="s">
        <v>163</v>
      </c>
      <c r="AB56" s="24" t="s">
        <v>293</v>
      </c>
      <c r="AC56" s="24" t="s">
        <v>60</v>
      </c>
    </row>
    <row r="57" s="5" customFormat="1" ht="63" customHeight="1" spans="1:29">
      <c r="A57" s="20">
        <v>51</v>
      </c>
      <c r="B57" s="20" t="s">
        <v>294</v>
      </c>
      <c r="C57" s="20" t="s">
        <v>295</v>
      </c>
      <c r="D57" s="20" t="s">
        <v>296</v>
      </c>
      <c r="E57" s="22">
        <v>3.7</v>
      </c>
      <c r="F57" s="23">
        <v>0</v>
      </c>
      <c r="G57" s="23">
        <v>0</v>
      </c>
      <c r="H57" s="23">
        <v>0</v>
      </c>
      <c r="I57" s="28">
        <v>3.7</v>
      </c>
      <c r="J57" s="23">
        <v>7.445</v>
      </c>
      <c r="K57" s="23">
        <v>0</v>
      </c>
      <c r="L57" s="27">
        <v>0</v>
      </c>
      <c r="M57" s="23">
        <v>0</v>
      </c>
      <c r="N57" s="23">
        <v>7.445</v>
      </c>
      <c r="O57" s="23">
        <v>-3.745</v>
      </c>
      <c r="P57" s="23">
        <v>0</v>
      </c>
      <c r="Q57" s="23">
        <v>0</v>
      </c>
      <c r="R57" s="23">
        <v>0</v>
      </c>
      <c r="S57" s="23">
        <v>-3.745</v>
      </c>
      <c r="T57" s="24" t="s">
        <v>28</v>
      </c>
      <c r="U57" s="24" t="s">
        <v>185</v>
      </c>
      <c r="V57" s="24" t="s">
        <v>186</v>
      </c>
      <c r="W57" s="33" t="s">
        <v>297</v>
      </c>
      <c r="X57" s="33" t="s">
        <v>298</v>
      </c>
      <c r="Y57" s="20" t="s">
        <v>231</v>
      </c>
      <c r="Z57" s="34" t="s">
        <v>162</v>
      </c>
      <c r="AA57" s="24" t="s">
        <v>163</v>
      </c>
      <c r="AB57" s="24" t="s">
        <v>299</v>
      </c>
      <c r="AC57" s="24" t="s">
        <v>60</v>
      </c>
    </row>
    <row r="58" s="5" customFormat="1" ht="67.5" spans="1:29">
      <c r="A58" s="20">
        <v>52</v>
      </c>
      <c r="B58" s="20" t="s">
        <v>300</v>
      </c>
      <c r="C58" s="20" t="s">
        <v>301</v>
      </c>
      <c r="D58" s="25" t="s">
        <v>302</v>
      </c>
      <c r="E58" s="22">
        <f t="shared" ref="E58:E70" si="59">F58+G58+H58+I58</f>
        <v>22.1</v>
      </c>
      <c r="F58" s="23">
        <v>0</v>
      </c>
      <c r="G58" s="23">
        <v>0</v>
      </c>
      <c r="H58" s="23">
        <v>0</v>
      </c>
      <c r="I58" s="28">
        <v>22.1</v>
      </c>
      <c r="J58" s="23">
        <f t="shared" ref="J58:J66" si="60">K58+L58+M58+N58</f>
        <v>20.16</v>
      </c>
      <c r="K58" s="23">
        <v>0</v>
      </c>
      <c r="L58" s="27">
        <v>0</v>
      </c>
      <c r="M58" s="23">
        <v>0</v>
      </c>
      <c r="N58" s="23">
        <f>11.05+9.11</f>
        <v>20.16</v>
      </c>
      <c r="O58" s="23">
        <f t="shared" ref="O58:O66" si="61">P58+Q58+R58+S58</f>
        <v>1.94</v>
      </c>
      <c r="P58" s="23">
        <f t="shared" ref="P58:S58" si="62">F58-K58</f>
        <v>0</v>
      </c>
      <c r="Q58" s="23">
        <f t="shared" si="62"/>
        <v>0</v>
      </c>
      <c r="R58" s="23">
        <f t="shared" si="62"/>
        <v>0</v>
      </c>
      <c r="S58" s="23">
        <f t="shared" si="62"/>
        <v>1.94</v>
      </c>
      <c r="T58" s="24" t="s">
        <v>28</v>
      </c>
      <c r="U58" s="24" t="s">
        <v>185</v>
      </c>
      <c r="V58" s="24" t="s">
        <v>186</v>
      </c>
      <c r="W58" s="24" t="s">
        <v>297</v>
      </c>
      <c r="X58" s="24" t="s">
        <v>303</v>
      </c>
      <c r="Y58" s="20" t="s">
        <v>231</v>
      </c>
      <c r="Z58" s="34" t="s">
        <v>162</v>
      </c>
      <c r="AA58" s="24" t="s">
        <v>163</v>
      </c>
      <c r="AB58" s="24" t="s">
        <v>304</v>
      </c>
      <c r="AC58" s="24" t="s">
        <v>60</v>
      </c>
    </row>
    <row r="59" s="5" customFormat="1" ht="94.5" spans="1:29">
      <c r="A59" s="20">
        <v>53</v>
      </c>
      <c r="B59" s="21" t="s">
        <v>305</v>
      </c>
      <c r="C59" s="20" t="s">
        <v>306</v>
      </c>
      <c r="D59" s="20" t="s">
        <v>307</v>
      </c>
      <c r="E59" s="22">
        <f t="shared" si="59"/>
        <v>90.76</v>
      </c>
      <c r="F59" s="23">
        <v>0</v>
      </c>
      <c r="G59" s="23">
        <v>0</v>
      </c>
      <c r="H59" s="23">
        <v>0</v>
      </c>
      <c r="I59" s="28">
        <v>90.76</v>
      </c>
      <c r="J59" s="23">
        <f t="shared" si="60"/>
        <v>89.1709</v>
      </c>
      <c r="K59" s="23">
        <v>0</v>
      </c>
      <c r="L59" s="27">
        <v>0</v>
      </c>
      <c r="M59" s="23">
        <v>0</v>
      </c>
      <c r="N59" s="23">
        <v>89.1709</v>
      </c>
      <c r="O59" s="23">
        <f t="shared" si="61"/>
        <v>1.5891</v>
      </c>
      <c r="P59" s="23">
        <f t="shared" ref="P59:S59" si="63">F59-K59</f>
        <v>0</v>
      </c>
      <c r="Q59" s="23">
        <f t="shared" si="63"/>
        <v>0</v>
      </c>
      <c r="R59" s="23">
        <f t="shared" si="63"/>
        <v>0</v>
      </c>
      <c r="S59" s="23">
        <f t="shared" si="63"/>
        <v>1.5891</v>
      </c>
      <c r="T59" s="24" t="s">
        <v>28</v>
      </c>
      <c r="U59" s="24" t="s">
        <v>308</v>
      </c>
      <c r="V59" s="24" t="s">
        <v>309</v>
      </c>
      <c r="W59" s="24" t="s">
        <v>310</v>
      </c>
      <c r="X59" s="24" t="s">
        <v>311</v>
      </c>
      <c r="Y59" s="20" t="s">
        <v>58</v>
      </c>
      <c r="Z59" s="34" t="s">
        <v>162</v>
      </c>
      <c r="AA59" s="24" t="s">
        <v>163</v>
      </c>
      <c r="AB59" s="24" t="s">
        <v>312</v>
      </c>
      <c r="AC59" s="24" t="s">
        <v>313</v>
      </c>
    </row>
    <row r="60" s="5" customFormat="1" ht="120" customHeight="1" spans="1:29">
      <c r="A60" s="20">
        <v>54</v>
      </c>
      <c r="B60" s="21" t="s">
        <v>314</v>
      </c>
      <c r="C60" s="20" t="s">
        <v>178</v>
      </c>
      <c r="D60" s="20" t="s">
        <v>315</v>
      </c>
      <c r="E60" s="22">
        <f t="shared" si="59"/>
        <v>100</v>
      </c>
      <c r="F60" s="23">
        <v>0</v>
      </c>
      <c r="G60" s="23">
        <v>38.78</v>
      </c>
      <c r="H60" s="23">
        <v>0</v>
      </c>
      <c r="I60" s="28">
        <v>61.22</v>
      </c>
      <c r="J60" s="23">
        <f t="shared" si="60"/>
        <v>100</v>
      </c>
      <c r="K60" s="23">
        <v>0</v>
      </c>
      <c r="L60" s="27">
        <v>38.78</v>
      </c>
      <c r="M60" s="23">
        <v>0</v>
      </c>
      <c r="N60" s="23">
        <v>61.22</v>
      </c>
      <c r="O60" s="23">
        <f t="shared" si="61"/>
        <v>0</v>
      </c>
      <c r="P60" s="23">
        <f t="shared" ref="P60:S60" si="64">F60-K60</f>
        <v>0</v>
      </c>
      <c r="Q60" s="23">
        <f t="shared" si="64"/>
        <v>0</v>
      </c>
      <c r="R60" s="23">
        <f t="shared" si="64"/>
        <v>0</v>
      </c>
      <c r="S60" s="23">
        <f t="shared" si="64"/>
        <v>0</v>
      </c>
      <c r="T60" s="24" t="s">
        <v>28</v>
      </c>
      <c r="U60" s="24" t="s">
        <v>308</v>
      </c>
      <c r="V60" s="24" t="s">
        <v>309</v>
      </c>
      <c r="W60" s="24" t="s">
        <v>310</v>
      </c>
      <c r="X60" s="24" t="s">
        <v>316</v>
      </c>
      <c r="Y60" s="20" t="s">
        <v>58</v>
      </c>
      <c r="Z60" s="34" t="s">
        <v>317</v>
      </c>
      <c r="AA60" s="24" t="s">
        <v>318</v>
      </c>
      <c r="AB60" s="24" t="s">
        <v>312</v>
      </c>
      <c r="AC60" s="24" t="s">
        <v>313</v>
      </c>
    </row>
    <row r="61" s="5" customFormat="1" ht="81" spans="1:29">
      <c r="A61" s="20">
        <v>55</v>
      </c>
      <c r="B61" s="20" t="s">
        <v>319</v>
      </c>
      <c r="C61" s="20" t="s">
        <v>320</v>
      </c>
      <c r="D61" s="20" t="s">
        <v>321</v>
      </c>
      <c r="E61" s="22">
        <f t="shared" si="59"/>
        <v>18.34</v>
      </c>
      <c r="F61" s="22">
        <v>0</v>
      </c>
      <c r="G61" s="22">
        <v>0</v>
      </c>
      <c r="H61" s="22">
        <v>0</v>
      </c>
      <c r="I61" s="30">
        <v>18.34</v>
      </c>
      <c r="J61" s="31">
        <f t="shared" si="60"/>
        <v>18.307102</v>
      </c>
      <c r="K61" s="31">
        <v>0</v>
      </c>
      <c r="L61" s="26">
        <v>0</v>
      </c>
      <c r="M61" s="22">
        <v>0</v>
      </c>
      <c r="N61" s="22">
        <f>9.158355+9.148747</f>
        <v>18.307102</v>
      </c>
      <c r="O61" s="22">
        <f t="shared" si="61"/>
        <v>0.0328979999999994</v>
      </c>
      <c r="P61" s="22">
        <f t="shared" ref="P61:S61" si="65">F61-K61</f>
        <v>0</v>
      </c>
      <c r="Q61" s="22">
        <f t="shared" si="65"/>
        <v>0</v>
      </c>
      <c r="R61" s="22">
        <f t="shared" si="65"/>
        <v>0</v>
      </c>
      <c r="S61" s="22">
        <f t="shared" si="65"/>
        <v>0.0328979999999994</v>
      </c>
      <c r="T61" s="24" t="s">
        <v>90</v>
      </c>
      <c r="U61" s="24" t="s">
        <v>322</v>
      </c>
      <c r="V61" s="20" t="s">
        <v>323</v>
      </c>
      <c r="W61" s="20" t="s">
        <v>324</v>
      </c>
      <c r="X61" s="20" t="s">
        <v>325</v>
      </c>
      <c r="Y61" s="20" t="s">
        <v>231</v>
      </c>
      <c r="Z61" s="34" t="s">
        <v>326</v>
      </c>
      <c r="AA61" s="24" t="s">
        <v>327</v>
      </c>
      <c r="AB61" s="20" t="s">
        <v>328</v>
      </c>
      <c r="AC61" s="20" t="s">
        <v>329</v>
      </c>
    </row>
    <row r="62" s="5" customFormat="1" ht="81" spans="1:29">
      <c r="A62" s="20">
        <v>56</v>
      </c>
      <c r="B62" s="20" t="s">
        <v>330</v>
      </c>
      <c r="C62" s="20" t="s">
        <v>331</v>
      </c>
      <c r="D62" s="20" t="s">
        <v>332</v>
      </c>
      <c r="E62" s="22">
        <f t="shared" si="59"/>
        <v>33.39</v>
      </c>
      <c r="F62" s="22">
        <v>0</v>
      </c>
      <c r="G62" s="22">
        <v>0</v>
      </c>
      <c r="H62" s="22">
        <v>0</v>
      </c>
      <c r="I62" s="30">
        <v>33.39</v>
      </c>
      <c r="J62" s="31">
        <f t="shared" si="60"/>
        <v>33.382323</v>
      </c>
      <c r="K62" s="31">
        <v>0</v>
      </c>
      <c r="L62" s="26">
        <v>0</v>
      </c>
      <c r="M62" s="22">
        <v>0</v>
      </c>
      <c r="N62" s="22">
        <f>16.693658+16.688665</f>
        <v>33.382323</v>
      </c>
      <c r="O62" s="22">
        <f t="shared" si="61"/>
        <v>0.00767700000000104</v>
      </c>
      <c r="P62" s="22">
        <f t="shared" ref="P62:S62" si="66">F62-K62</f>
        <v>0</v>
      </c>
      <c r="Q62" s="22">
        <f t="shared" si="66"/>
        <v>0</v>
      </c>
      <c r="R62" s="22">
        <f t="shared" si="66"/>
        <v>0</v>
      </c>
      <c r="S62" s="22">
        <f t="shared" si="66"/>
        <v>0.00767700000000104</v>
      </c>
      <c r="T62" s="24" t="s">
        <v>90</v>
      </c>
      <c r="U62" s="24" t="s">
        <v>322</v>
      </c>
      <c r="V62" s="20" t="s">
        <v>323</v>
      </c>
      <c r="W62" s="20" t="s">
        <v>324</v>
      </c>
      <c r="X62" s="20" t="s">
        <v>325</v>
      </c>
      <c r="Y62" s="20" t="s">
        <v>231</v>
      </c>
      <c r="Z62" s="34" t="s">
        <v>326</v>
      </c>
      <c r="AA62" s="24" t="s">
        <v>327</v>
      </c>
      <c r="AB62" s="20" t="s">
        <v>328</v>
      </c>
      <c r="AC62" s="20" t="s">
        <v>329</v>
      </c>
    </row>
    <row r="63" s="5" customFormat="1" ht="81" spans="1:29">
      <c r="A63" s="20">
        <v>57</v>
      </c>
      <c r="B63" s="20" t="s">
        <v>333</v>
      </c>
      <c r="C63" s="20" t="s">
        <v>334</v>
      </c>
      <c r="D63" s="20" t="s">
        <v>335</v>
      </c>
      <c r="E63" s="22">
        <f t="shared" si="59"/>
        <v>23.11</v>
      </c>
      <c r="F63" s="23">
        <v>0</v>
      </c>
      <c r="G63" s="23">
        <v>0</v>
      </c>
      <c r="H63" s="23">
        <v>0</v>
      </c>
      <c r="I63" s="28">
        <v>23.11</v>
      </c>
      <c r="J63" s="23">
        <f t="shared" si="60"/>
        <v>23.0846</v>
      </c>
      <c r="K63" s="23">
        <v>0</v>
      </c>
      <c r="L63" s="27">
        <v>0</v>
      </c>
      <c r="M63" s="23">
        <v>0</v>
      </c>
      <c r="N63" s="23">
        <f>11.545396+11.539204</f>
        <v>23.0846</v>
      </c>
      <c r="O63" s="23">
        <f t="shared" si="61"/>
        <v>0.0253999999999976</v>
      </c>
      <c r="P63" s="23">
        <f t="shared" ref="P63:S63" si="67">F63-K63</f>
        <v>0</v>
      </c>
      <c r="Q63" s="23">
        <f t="shared" si="67"/>
        <v>0</v>
      </c>
      <c r="R63" s="23">
        <f t="shared" si="67"/>
        <v>0</v>
      </c>
      <c r="S63" s="23">
        <f t="shared" si="67"/>
        <v>0.0253999999999976</v>
      </c>
      <c r="T63" s="24" t="s">
        <v>90</v>
      </c>
      <c r="U63" s="24" t="s">
        <v>322</v>
      </c>
      <c r="V63" s="20" t="s">
        <v>323</v>
      </c>
      <c r="W63" s="20" t="s">
        <v>324</v>
      </c>
      <c r="X63" s="20" t="s">
        <v>336</v>
      </c>
      <c r="Y63" s="20" t="s">
        <v>231</v>
      </c>
      <c r="Z63" s="34" t="s">
        <v>326</v>
      </c>
      <c r="AA63" s="24" t="s">
        <v>327</v>
      </c>
      <c r="AB63" s="20" t="s">
        <v>328</v>
      </c>
      <c r="AC63" s="20" t="s">
        <v>329</v>
      </c>
    </row>
    <row r="64" s="5" customFormat="1" ht="81" spans="1:29">
      <c r="A64" s="20">
        <v>58</v>
      </c>
      <c r="B64" s="20" t="s">
        <v>337</v>
      </c>
      <c r="C64" s="20" t="s">
        <v>338</v>
      </c>
      <c r="D64" s="20" t="s">
        <v>339</v>
      </c>
      <c r="E64" s="22">
        <f t="shared" si="59"/>
        <v>21.45</v>
      </c>
      <c r="F64" s="23">
        <v>0</v>
      </c>
      <c r="G64" s="23">
        <v>0</v>
      </c>
      <c r="H64" s="23">
        <v>0</v>
      </c>
      <c r="I64" s="28">
        <v>21.45</v>
      </c>
      <c r="J64" s="23">
        <f t="shared" si="60"/>
        <v>21.438066</v>
      </c>
      <c r="K64" s="23">
        <v>0</v>
      </c>
      <c r="L64" s="27">
        <v>0</v>
      </c>
      <c r="M64" s="23">
        <v>0</v>
      </c>
      <c r="N64" s="23">
        <f>10.719042+10.719024</f>
        <v>21.438066</v>
      </c>
      <c r="O64" s="23">
        <f t="shared" si="61"/>
        <v>0.0119340000000001</v>
      </c>
      <c r="P64" s="23">
        <f t="shared" ref="P64:S64" si="68">F64-K64</f>
        <v>0</v>
      </c>
      <c r="Q64" s="23">
        <f t="shared" si="68"/>
        <v>0</v>
      </c>
      <c r="R64" s="23">
        <f t="shared" si="68"/>
        <v>0</v>
      </c>
      <c r="S64" s="23">
        <f t="shared" si="68"/>
        <v>0.0119340000000001</v>
      </c>
      <c r="T64" s="24" t="s">
        <v>90</v>
      </c>
      <c r="U64" s="24" t="s">
        <v>322</v>
      </c>
      <c r="V64" s="20" t="s">
        <v>323</v>
      </c>
      <c r="W64" s="20" t="s">
        <v>324</v>
      </c>
      <c r="X64" s="20" t="s">
        <v>336</v>
      </c>
      <c r="Y64" s="20" t="s">
        <v>231</v>
      </c>
      <c r="Z64" s="34" t="s">
        <v>326</v>
      </c>
      <c r="AA64" s="24" t="s">
        <v>327</v>
      </c>
      <c r="AB64" s="20" t="s">
        <v>328</v>
      </c>
      <c r="AC64" s="20" t="s">
        <v>329</v>
      </c>
    </row>
    <row r="65" s="5" customFormat="1" ht="81" spans="1:29">
      <c r="A65" s="20">
        <v>59</v>
      </c>
      <c r="B65" s="20" t="s">
        <v>340</v>
      </c>
      <c r="C65" s="20" t="s">
        <v>156</v>
      </c>
      <c r="D65" s="20" t="s">
        <v>341</v>
      </c>
      <c r="E65" s="22">
        <f t="shared" si="59"/>
        <v>78.63</v>
      </c>
      <c r="F65" s="23">
        <v>0</v>
      </c>
      <c r="G65" s="23">
        <v>0</v>
      </c>
      <c r="H65" s="23">
        <v>0</v>
      </c>
      <c r="I65" s="28">
        <v>78.63</v>
      </c>
      <c r="J65" s="23">
        <f t="shared" si="60"/>
        <v>78.606704</v>
      </c>
      <c r="K65" s="23">
        <v>0</v>
      </c>
      <c r="L65" s="27">
        <v>0</v>
      </c>
      <c r="M65" s="23">
        <v>0</v>
      </c>
      <c r="N65" s="23">
        <f>39.305427+39.301277</f>
        <v>78.606704</v>
      </c>
      <c r="O65" s="23">
        <f t="shared" si="61"/>
        <v>0.0232959999999878</v>
      </c>
      <c r="P65" s="23">
        <f t="shared" ref="P65:S65" si="69">F65-K65</f>
        <v>0</v>
      </c>
      <c r="Q65" s="23">
        <f t="shared" si="69"/>
        <v>0</v>
      </c>
      <c r="R65" s="23">
        <f t="shared" si="69"/>
        <v>0</v>
      </c>
      <c r="S65" s="23">
        <f t="shared" si="69"/>
        <v>0.0232959999999878</v>
      </c>
      <c r="T65" s="24" t="s">
        <v>90</v>
      </c>
      <c r="U65" s="24" t="s">
        <v>322</v>
      </c>
      <c r="V65" s="20" t="s">
        <v>323</v>
      </c>
      <c r="W65" s="20" t="s">
        <v>324</v>
      </c>
      <c r="X65" s="20" t="s">
        <v>336</v>
      </c>
      <c r="Y65" s="20" t="s">
        <v>231</v>
      </c>
      <c r="Z65" s="34" t="s">
        <v>326</v>
      </c>
      <c r="AA65" s="24" t="s">
        <v>327</v>
      </c>
      <c r="AB65" s="20" t="s">
        <v>328</v>
      </c>
      <c r="AC65" s="20" t="s">
        <v>329</v>
      </c>
    </row>
    <row r="66" s="5" customFormat="1" ht="81" spans="1:29">
      <c r="A66" s="20">
        <v>60</v>
      </c>
      <c r="B66" s="20" t="s">
        <v>342</v>
      </c>
      <c r="C66" s="20" t="s">
        <v>343</v>
      </c>
      <c r="D66" s="20" t="s">
        <v>344</v>
      </c>
      <c r="E66" s="22">
        <f t="shared" si="59"/>
        <v>33.33</v>
      </c>
      <c r="F66" s="23">
        <v>0</v>
      </c>
      <c r="G66" s="23">
        <v>0</v>
      </c>
      <c r="H66" s="23">
        <v>0</v>
      </c>
      <c r="I66" s="28">
        <v>33.33</v>
      </c>
      <c r="J66" s="23">
        <f t="shared" si="60"/>
        <v>33.295648</v>
      </c>
      <c r="K66" s="23">
        <v>0</v>
      </c>
      <c r="L66" s="27">
        <v>0</v>
      </c>
      <c r="M66" s="23">
        <v>0</v>
      </c>
      <c r="N66" s="23">
        <f>16.651681+16.643967</f>
        <v>33.295648</v>
      </c>
      <c r="O66" s="23">
        <f t="shared" si="61"/>
        <v>0.0343519999999984</v>
      </c>
      <c r="P66" s="23">
        <f t="shared" ref="P66:S66" si="70">F66-K66</f>
        <v>0</v>
      </c>
      <c r="Q66" s="23">
        <f t="shared" si="70"/>
        <v>0</v>
      </c>
      <c r="R66" s="23">
        <f t="shared" si="70"/>
        <v>0</v>
      </c>
      <c r="S66" s="23">
        <f t="shared" si="70"/>
        <v>0.0343519999999984</v>
      </c>
      <c r="T66" s="24" t="s">
        <v>90</v>
      </c>
      <c r="U66" s="24" t="s">
        <v>322</v>
      </c>
      <c r="V66" s="20" t="s">
        <v>323</v>
      </c>
      <c r="W66" s="20" t="s">
        <v>324</v>
      </c>
      <c r="X66" s="20" t="s">
        <v>325</v>
      </c>
      <c r="Y66" s="20" t="s">
        <v>231</v>
      </c>
      <c r="Z66" s="34" t="s">
        <v>326</v>
      </c>
      <c r="AA66" s="24" t="s">
        <v>327</v>
      </c>
      <c r="AB66" s="20" t="s">
        <v>328</v>
      </c>
      <c r="AC66" s="20" t="s">
        <v>329</v>
      </c>
    </row>
    <row r="67" s="5" customFormat="1" ht="81" spans="1:29">
      <c r="A67" s="20">
        <v>61</v>
      </c>
      <c r="B67" s="20" t="s">
        <v>345</v>
      </c>
      <c r="C67" s="20" t="s">
        <v>209</v>
      </c>
      <c r="D67" s="20" t="s">
        <v>346</v>
      </c>
      <c r="E67" s="22">
        <f t="shared" si="59"/>
        <v>44.99</v>
      </c>
      <c r="F67" s="23">
        <v>0</v>
      </c>
      <c r="G67" s="23">
        <v>0</v>
      </c>
      <c r="H67" s="23">
        <v>0</v>
      </c>
      <c r="I67" s="28">
        <v>44.99</v>
      </c>
      <c r="J67" s="23">
        <f t="shared" ref="J67:J96" si="71">K67+L67+M67+N67</f>
        <v>44.92975</v>
      </c>
      <c r="K67" s="23">
        <v>0</v>
      </c>
      <c r="L67" s="27">
        <v>0</v>
      </c>
      <c r="M67" s="23">
        <v>0</v>
      </c>
      <c r="N67" s="23">
        <f>22.467951+22.461799</f>
        <v>44.92975</v>
      </c>
      <c r="O67" s="23">
        <f t="shared" ref="O67:O96" si="72">P67+Q67+R67+S67</f>
        <v>0.0602500000000035</v>
      </c>
      <c r="P67" s="23">
        <f t="shared" ref="P67:S67" si="73">F67-K67</f>
        <v>0</v>
      </c>
      <c r="Q67" s="23">
        <f t="shared" si="73"/>
        <v>0</v>
      </c>
      <c r="R67" s="23">
        <f t="shared" si="73"/>
        <v>0</v>
      </c>
      <c r="S67" s="23">
        <f t="shared" si="73"/>
        <v>0.0602500000000035</v>
      </c>
      <c r="T67" s="24" t="s">
        <v>28</v>
      </c>
      <c r="U67" s="24" t="s">
        <v>322</v>
      </c>
      <c r="V67" s="20" t="s">
        <v>323</v>
      </c>
      <c r="W67" s="20" t="s">
        <v>324</v>
      </c>
      <c r="X67" s="20" t="s">
        <v>325</v>
      </c>
      <c r="Y67" s="20" t="s">
        <v>231</v>
      </c>
      <c r="Z67" s="34" t="s">
        <v>326</v>
      </c>
      <c r="AA67" s="24" t="s">
        <v>327</v>
      </c>
      <c r="AB67" s="20" t="s">
        <v>328</v>
      </c>
      <c r="AC67" s="20" t="s">
        <v>329</v>
      </c>
    </row>
    <row r="68" s="5" customFormat="1" ht="81" spans="1:29">
      <c r="A68" s="20">
        <v>62</v>
      </c>
      <c r="B68" s="20" t="s">
        <v>347</v>
      </c>
      <c r="C68" s="20" t="s">
        <v>348</v>
      </c>
      <c r="D68" s="20" t="s">
        <v>349</v>
      </c>
      <c r="E68" s="22">
        <f t="shared" si="59"/>
        <v>21.09</v>
      </c>
      <c r="F68" s="23">
        <v>0</v>
      </c>
      <c r="G68" s="23">
        <v>0</v>
      </c>
      <c r="H68" s="23">
        <v>0</v>
      </c>
      <c r="I68" s="28">
        <v>21.09</v>
      </c>
      <c r="J68" s="23">
        <f t="shared" si="71"/>
        <v>21.058579</v>
      </c>
      <c r="K68" s="23">
        <v>0</v>
      </c>
      <c r="L68" s="27">
        <v>0</v>
      </c>
      <c r="M68" s="23">
        <v>0</v>
      </c>
      <c r="N68" s="23">
        <f>10.538971+10.519608</f>
        <v>21.058579</v>
      </c>
      <c r="O68" s="23">
        <f t="shared" si="72"/>
        <v>0.0314209999999981</v>
      </c>
      <c r="P68" s="23">
        <f t="shared" ref="P68:S68" si="74">F68-K68</f>
        <v>0</v>
      </c>
      <c r="Q68" s="23">
        <f t="shared" si="74"/>
        <v>0</v>
      </c>
      <c r="R68" s="23">
        <f t="shared" si="74"/>
        <v>0</v>
      </c>
      <c r="S68" s="23">
        <f t="shared" si="74"/>
        <v>0.0314209999999981</v>
      </c>
      <c r="T68" s="24" t="s">
        <v>90</v>
      </c>
      <c r="U68" s="24" t="s">
        <v>322</v>
      </c>
      <c r="V68" s="20" t="s">
        <v>323</v>
      </c>
      <c r="W68" s="20" t="s">
        <v>324</v>
      </c>
      <c r="X68" s="20" t="s">
        <v>336</v>
      </c>
      <c r="Y68" s="20" t="s">
        <v>231</v>
      </c>
      <c r="Z68" s="34" t="s">
        <v>326</v>
      </c>
      <c r="AA68" s="24" t="s">
        <v>327</v>
      </c>
      <c r="AB68" s="20" t="s">
        <v>328</v>
      </c>
      <c r="AC68" s="20" t="s">
        <v>329</v>
      </c>
    </row>
    <row r="69" s="5" customFormat="1" ht="81" spans="1:29">
      <c r="A69" s="20">
        <v>63</v>
      </c>
      <c r="B69" s="20" t="s">
        <v>350</v>
      </c>
      <c r="C69" s="20" t="s">
        <v>351</v>
      </c>
      <c r="D69" s="20" t="s">
        <v>352</v>
      </c>
      <c r="E69" s="22">
        <f t="shared" si="59"/>
        <v>10.41</v>
      </c>
      <c r="F69" s="23">
        <v>0</v>
      </c>
      <c r="G69" s="23">
        <v>0</v>
      </c>
      <c r="H69" s="23">
        <v>0</v>
      </c>
      <c r="I69" s="28">
        <v>10.41</v>
      </c>
      <c r="J69" s="23">
        <f t="shared" si="71"/>
        <v>10.399478</v>
      </c>
      <c r="K69" s="23">
        <v>0</v>
      </c>
      <c r="L69" s="27">
        <v>0</v>
      </c>
      <c r="M69" s="23">
        <v>0</v>
      </c>
      <c r="N69" s="23">
        <f>5.201509+5.197969</f>
        <v>10.399478</v>
      </c>
      <c r="O69" s="23">
        <f t="shared" si="72"/>
        <v>0.0105220000000017</v>
      </c>
      <c r="P69" s="23">
        <f t="shared" ref="P69:S69" si="75">F69-K69</f>
        <v>0</v>
      </c>
      <c r="Q69" s="23">
        <f t="shared" si="75"/>
        <v>0</v>
      </c>
      <c r="R69" s="23">
        <f t="shared" si="75"/>
        <v>0</v>
      </c>
      <c r="S69" s="23">
        <f t="shared" si="75"/>
        <v>0.0105220000000017</v>
      </c>
      <c r="T69" s="24" t="s">
        <v>90</v>
      </c>
      <c r="U69" s="24" t="s">
        <v>322</v>
      </c>
      <c r="V69" s="20" t="s">
        <v>323</v>
      </c>
      <c r="W69" s="20" t="s">
        <v>324</v>
      </c>
      <c r="X69" s="20" t="s">
        <v>325</v>
      </c>
      <c r="Y69" s="20" t="s">
        <v>231</v>
      </c>
      <c r="Z69" s="34" t="s">
        <v>326</v>
      </c>
      <c r="AA69" s="24" t="s">
        <v>327</v>
      </c>
      <c r="AB69" s="20" t="s">
        <v>328</v>
      </c>
      <c r="AC69" s="20" t="s">
        <v>329</v>
      </c>
    </row>
    <row r="70" s="5" customFormat="1" ht="81" spans="1:29">
      <c r="A70" s="20">
        <v>64</v>
      </c>
      <c r="B70" s="20" t="s">
        <v>353</v>
      </c>
      <c r="C70" s="20" t="s">
        <v>228</v>
      </c>
      <c r="D70" s="20" t="s">
        <v>354</v>
      </c>
      <c r="E70" s="22">
        <f t="shared" si="59"/>
        <v>37.41</v>
      </c>
      <c r="F70" s="23">
        <v>0</v>
      </c>
      <c r="G70" s="23">
        <v>0</v>
      </c>
      <c r="H70" s="23">
        <v>0</v>
      </c>
      <c r="I70" s="28">
        <v>37.41</v>
      </c>
      <c r="J70" s="23">
        <f t="shared" si="71"/>
        <v>37.399738</v>
      </c>
      <c r="K70" s="23">
        <v>0</v>
      </c>
      <c r="L70" s="27">
        <v>0</v>
      </c>
      <c r="M70" s="23">
        <v>0</v>
      </c>
      <c r="N70" s="23">
        <f>18.701542+18.698196</f>
        <v>37.399738</v>
      </c>
      <c r="O70" s="23">
        <f t="shared" si="72"/>
        <v>0.0102619999999973</v>
      </c>
      <c r="P70" s="23">
        <f t="shared" ref="P70:S70" si="76">F70-K70</f>
        <v>0</v>
      </c>
      <c r="Q70" s="23">
        <f t="shared" si="76"/>
        <v>0</v>
      </c>
      <c r="R70" s="23">
        <f t="shared" si="76"/>
        <v>0</v>
      </c>
      <c r="S70" s="23">
        <f t="shared" si="76"/>
        <v>0.0102619999999973</v>
      </c>
      <c r="T70" s="24" t="s">
        <v>90</v>
      </c>
      <c r="U70" s="24" t="s">
        <v>322</v>
      </c>
      <c r="V70" s="20" t="s">
        <v>323</v>
      </c>
      <c r="W70" s="20" t="s">
        <v>324</v>
      </c>
      <c r="X70" s="20" t="s">
        <v>336</v>
      </c>
      <c r="Y70" s="20" t="s">
        <v>231</v>
      </c>
      <c r="Z70" s="34" t="s">
        <v>326</v>
      </c>
      <c r="AA70" s="24" t="s">
        <v>327</v>
      </c>
      <c r="AB70" s="20" t="s">
        <v>328</v>
      </c>
      <c r="AC70" s="20" t="s">
        <v>329</v>
      </c>
    </row>
    <row r="71" s="5" customFormat="1" ht="81" spans="1:29">
      <c r="A71" s="20">
        <v>65</v>
      </c>
      <c r="B71" s="20" t="s">
        <v>355</v>
      </c>
      <c r="C71" s="20" t="s">
        <v>356</v>
      </c>
      <c r="D71" s="20" t="s">
        <v>357</v>
      </c>
      <c r="E71" s="22">
        <f t="shared" ref="E71:E102" si="77">F71+G71+H71+I71</f>
        <v>16.71</v>
      </c>
      <c r="F71" s="23">
        <v>0</v>
      </c>
      <c r="G71" s="23">
        <v>0</v>
      </c>
      <c r="H71" s="23">
        <v>0</v>
      </c>
      <c r="I71" s="28">
        <v>16.71</v>
      </c>
      <c r="J71" s="23">
        <f t="shared" si="71"/>
        <v>16.670679</v>
      </c>
      <c r="K71" s="23">
        <v>0</v>
      </c>
      <c r="L71" s="27">
        <v>0</v>
      </c>
      <c r="M71" s="23">
        <v>0</v>
      </c>
      <c r="N71" s="23">
        <f>8.344249+8.32643</f>
        <v>16.670679</v>
      </c>
      <c r="O71" s="23">
        <f t="shared" si="72"/>
        <v>0.039321000000001</v>
      </c>
      <c r="P71" s="23">
        <f t="shared" ref="P71:S71" si="78">F71-K71</f>
        <v>0</v>
      </c>
      <c r="Q71" s="23">
        <f t="shared" si="78"/>
        <v>0</v>
      </c>
      <c r="R71" s="23">
        <f t="shared" si="78"/>
        <v>0</v>
      </c>
      <c r="S71" s="23">
        <f t="shared" si="78"/>
        <v>0.039321000000001</v>
      </c>
      <c r="T71" s="24" t="s">
        <v>90</v>
      </c>
      <c r="U71" s="24" t="s">
        <v>322</v>
      </c>
      <c r="V71" s="20" t="s">
        <v>323</v>
      </c>
      <c r="W71" s="20" t="s">
        <v>324</v>
      </c>
      <c r="X71" s="20" t="s">
        <v>336</v>
      </c>
      <c r="Y71" s="20" t="s">
        <v>231</v>
      </c>
      <c r="Z71" s="34" t="s">
        <v>326</v>
      </c>
      <c r="AA71" s="24" t="s">
        <v>327</v>
      </c>
      <c r="AB71" s="20" t="s">
        <v>328</v>
      </c>
      <c r="AC71" s="20" t="s">
        <v>329</v>
      </c>
    </row>
    <row r="72" s="5" customFormat="1" ht="81" spans="1:29">
      <c r="A72" s="20">
        <v>66</v>
      </c>
      <c r="B72" s="20" t="s">
        <v>358</v>
      </c>
      <c r="C72" s="20" t="s">
        <v>359</v>
      </c>
      <c r="D72" s="20" t="s">
        <v>360</v>
      </c>
      <c r="E72" s="22">
        <f t="shared" si="77"/>
        <v>23.08</v>
      </c>
      <c r="F72" s="23">
        <v>0</v>
      </c>
      <c r="G72" s="23">
        <v>0</v>
      </c>
      <c r="H72" s="23">
        <v>0</v>
      </c>
      <c r="I72" s="28">
        <v>23.08</v>
      </c>
      <c r="J72" s="23">
        <f t="shared" si="71"/>
        <v>23.068367</v>
      </c>
      <c r="K72" s="23">
        <v>0</v>
      </c>
      <c r="L72" s="27">
        <v>0</v>
      </c>
      <c r="M72" s="23">
        <v>0</v>
      </c>
      <c r="N72" s="23">
        <f>11.537361+11.531006</f>
        <v>23.068367</v>
      </c>
      <c r="O72" s="23">
        <f t="shared" si="72"/>
        <v>0.0116329999999962</v>
      </c>
      <c r="P72" s="23">
        <f t="shared" ref="P72:S72" si="79">F72-K72</f>
        <v>0</v>
      </c>
      <c r="Q72" s="23">
        <f t="shared" si="79"/>
        <v>0</v>
      </c>
      <c r="R72" s="23">
        <f t="shared" si="79"/>
        <v>0</v>
      </c>
      <c r="S72" s="23">
        <f t="shared" si="79"/>
        <v>0.0116329999999962</v>
      </c>
      <c r="T72" s="24" t="s">
        <v>90</v>
      </c>
      <c r="U72" s="24" t="s">
        <v>322</v>
      </c>
      <c r="V72" s="20" t="s">
        <v>323</v>
      </c>
      <c r="W72" s="20" t="s">
        <v>324</v>
      </c>
      <c r="X72" s="20" t="s">
        <v>325</v>
      </c>
      <c r="Y72" s="20" t="s">
        <v>231</v>
      </c>
      <c r="Z72" s="34" t="s">
        <v>326</v>
      </c>
      <c r="AA72" s="24" t="s">
        <v>327</v>
      </c>
      <c r="AB72" s="20" t="s">
        <v>328</v>
      </c>
      <c r="AC72" s="20" t="s">
        <v>329</v>
      </c>
    </row>
    <row r="73" s="5" customFormat="1" ht="81" spans="1:29">
      <c r="A73" s="20">
        <v>67</v>
      </c>
      <c r="B73" s="20" t="s">
        <v>361</v>
      </c>
      <c r="C73" s="20" t="s">
        <v>362</v>
      </c>
      <c r="D73" s="20" t="s">
        <v>363</v>
      </c>
      <c r="E73" s="22">
        <f t="shared" si="77"/>
        <v>106.42</v>
      </c>
      <c r="F73" s="23">
        <v>0</v>
      </c>
      <c r="G73" s="23">
        <v>0</v>
      </c>
      <c r="H73" s="23">
        <v>0</v>
      </c>
      <c r="I73" s="28">
        <v>106.42</v>
      </c>
      <c r="J73" s="23">
        <f t="shared" si="71"/>
        <v>106.273257</v>
      </c>
      <c r="K73" s="23">
        <v>0</v>
      </c>
      <c r="L73" s="27">
        <v>0</v>
      </c>
      <c r="M73" s="23">
        <v>0</v>
      </c>
      <c r="N73" s="23">
        <f>53.144165+53.129092</f>
        <v>106.273257</v>
      </c>
      <c r="O73" s="23">
        <f t="shared" si="72"/>
        <v>0.146743000000001</v>
      </c>
      <c r="P73" s="23">
        <f t="shared" ref="P73:S73" si="80">F73-K73</f>
        <v>0</v>
      </c>
      <c r="Q73" s="23">
        <f t="shared" si="80"/>
        <v>0</v>
      </c>
      <c r="R73" s="23">
        <f t="shared" si="80"/>
        <v>0</v>
      </c>
      <c r="S73" s="23">
        <f t="shared" si="80"/>
        <v>0.146743000000001</v>
      </c>
      <c r="T73" s="24" t="s">
        <v>90</v>
      </c>
      <c r="U73" s="24" t="s">
        <v>322</v>
      </c>
      <c r="V73" s="20" t="s">
        <v>323</v>
      </c>
      <c r="W73" s="20" t="s">
        <v>324</v>
      </c>
      <c r="X73" s="20" t="s">
        <v>325</v>
      </c>
      <c r="Y73" s="20" t="s">
        <v>231</v>
      </c>
      <c r="Z73" s="34" t="s">
        <v>326</v>
      </c>
      <c r="AA73" s="24" t="s">
        <v>327</v>
      </c>
      <c r="AB73" s="20" t="s">
        <v>328</v>
      </c>
      <c r="AC73" s="20" t="s">
        <v>329</v>
      </c>
    </row>
    <row r="74" s="5" customFormat="1" ht="81" spans="1:29">
      <c r="A74" s="20">
        <v>68</v>
      </c>
      <c r="B74" s="20" t="s">
        <v>364</v>
      </c>
      <c r="C74" s="20" t="s">
        <v>365</v>
      </c>
      <c r="D74" s="20" t="s">
        <v>366</v>
      </c>
      <c r="E74" s="22">
        <f t="shared" si="77"/>
        <v>10.92</v>
      </c>
      <c r="F74" s="23">
        <v>0</v>
      </c>
      <c r="G74" s="23">
        <v>0</v>
      </c>
      <c r="H74" s="23">
        <v>0</v>
      </c>
      <c r="I74" s="28">
        <v>10.92</v>
      </c>
      <c r="J74" s="23">
        <f t="shared" si="71"/>
        <v>10.910724</v>
      </c>
      <c r="K74" s="23">
        <v>0</v>
      </c>
      <c r="L74" s="27">
        <v>0</v>
      </c>
      <c r="M74" s="23">
        <v>0</v>
      </c>
      <c r="N74" s="23">
        <f>5.457443+5.453281</f>
        <v>10.910724</v>
      </c>
      <c r="O74" s="23">
        <f t="shared" si="72"/>
        <v>0.00927600000000162</v>
      </c>
      <c r="P74" s="23">
        <f t="shared" ref="P74:S74" si="81">F74-K74</f>
        <v>0</v>
      </c>
      <c r="Q74" s="23">
        <f t="shared" si="81"/>
        <v>0</v>
      </c>
      <c r="R74" s="23">
        <f t="shared" si="81"/>
        <v>0</v>
      </c>
      <c r="S74" s="23">
        <f t="shared" si="81"/>
        <v>0.00927600000000162</v>
      </c>
      <c r="T74" s="24" t="s">
        <v>90</v>
      </c>
      <c r="U74" s="24" t="s">
        <v>322</v>
      </c>
      <c r="V74" s="20" t="s">
        <v>323</v>
      </c>
      <c r="W74" s="20" t="s">
        <v>324</v>
      </c>
      <c r="X74" s="20" t="s">
        <v>325</v>
      </c>
      <c r="Y74" s="20" t="s">
        <v>231</v>
      </c>
      <c r="Z74" s="34" t="s">
        <v>326</v>
      </c>
      <c r="AA74" s="24" t="s">
        <v>327</v>
      </c>
      <c r="AB74" s="20" t="s">
        <v>328</v>
      </c>
      <c r="AC74" s="20" t="s">
        <v>329</v>
      </c>
    </row>
    <row r="75" s="5" customFormat="1" ht="81" spans="1:29">
      <c r="A75" s="20">
        <v>69</v>
      </c>
      <c r="B75" s="20" t="s">
        <v>367</v>
      </c>
      <c r="C75" s="20" t="s">
        <v>368</v>
      </c>
      <c r="D75" s="20" t="s">
        <v>369</v>
      </c>
      <c r="E75" s="22">
        <f t="shared" si="77"/>
        <v>36.77</v>
      </c>
      <c r="F75" s="23">
        <v>0</v>
      </c>
      <c r="G75" s="23">
        <v>0</v>
      </c>
      <c r="H75" s="23">
        <v>0</v>
      </c>
      <c r="I75" s="28">
        <v>36.77</v>
      </c>
      <c r="J75" s="23">
        <f t="shared" si="71"/>
        <v>36.740256</v>
      </c>
      <c r="K75" s="23">
        <v>0</v>
      </c>
      <c r="L75" s="27">
        <v>0</v>
      </c>
      <c r="M75" s="23">
        <v>0</v>
      </c>
      <c r="N75" s="23">
        <f>18.375354+18.364902</f>
        <v>36.740256</v>
      </c>
      <c r="O75" s="23">
        <f t="shared" si="72"/>
        <v>0.0297440000000009</v>
      </c>
      <c r="P75" s="23">
        <f t="shared" ref="P75:S75" si="82">F75-K75</f>
        <v>0</v>
      </c>
      <c r="Q75" s="23">
        <f t="shared" si="82"/>
        <v>0</v>
      </c>
      <c r="R75" s="23">
        <f t="shared" si="82"/>
        <v>0</v>
      </c>
      <c r="S75" s="23">
        <f t="shared" si="82"/>
        <v>0.0297440000000009</v>
      </c>
      <c r="T75" s="24" t="s">
        <v>90</v>
      </c>
      <c r="U75" s="24" t="s">
        <v>322</v>
      </c>
      <c r="V75" s="20" t="s">
        <v>323</v>
      </c>
      <c r="W75" s="20" t="s">
        <v>324</v>
      </c>
      <c r="X75" s="20" t="s">
        <v>336</v>
      </c>
      <c r="Y75" s="20" t="s">
        <v>231</v>
      </c>
      <c r="Z75" s="34" t="s">
        <v>326</v>
      </c>
      <c r="AA75" s="24" t="s">
        <v>327</v>
      </c>
      <c r="AB75" s="20" t="s">
        <v>328</v>
      </c>
      <c r="AC75" s="20" t="s">
        <v>329</v>
      </c>
    </row>
    <row r="76" s="5" customFormat="1" ht="81" spans="1:29">
      <c r="A76" s="20">
        <v>70</v>
      </c>
      <c r="B76" s="20" t="s">
        <v>370</v>
      </c>
      <c r="C76" s="20" t="s">
        <v>371</v>
      </c>
      <c r="D76" s="20" t="s">
        <v>372</v>
      </c>
      <c r="E76" s="22">
        <f t="shared" si="77"/>
        <v>30.39</v>
      </c>
      <c r="F76" s="23">
        <v>0</v>
      </c>
      <c r="G76" s="23">
        <v>0</v>
      </c>
      <c r="H76" s="23">
        <v>0</v>
      </c>
      <c r="I76" s="28">
        <v>30.39</v>
      </c>
      <c r="J76" s="23">
        <f t="shared" si="71"/>
        <v>30.369524</v>
      </c>
      <c r="K76" s="23">
        <v>0</v>
      </c>
      <c r="L76" s="27">
        <v>0</v>
      </c>
      <c r="M76" s="23">
        <v>0</v>
      </c>
      <c r="N76" s="23">
        <f>15.189932+15.179592</f>
        <v>30.369524</v>
      </c>
      <c r="O76" s="23">
        <f t="shared" si="72"/>
        <v>0.0204760000000022</v>
      </c>
      <c r="P76" s="23">
        <f t="shared" ref="P76:S76" si="83">F76-K76</f>
        <v>0</v>
      </c>
      <c r="Q76" s="23">
        <f t="shared" si="83"/>
        <v>0</v>
      </c>
      <c r="R76" s="23">
        <f t="shared" si="83"/>
        <v>0</v>
      </c>
      <c r="S76" s="23">
        <f t="shared" si="83"/>
        <v>0.0204760000000022</v>
      </c>
      <c r="T76" s="24" t="s">
        <v>90</v>
      </c>
      <c r="U76" s="24" t="s">
        <v>322</v>
      </c>
      <c r="V76" s="20" t="s">
        <v>323</v>
      </c>
      <c r="W76" s="20" t="s">
        <v>324</v>
      </c>
      <c r="X76" s="20" t="s">
        <v>336</v>
      </c>
      <c r="Y76" s="20" t="s">
        <v>231</v>
      </c>
      <c r="Z76" s="34" t="s">
        <v>326</v>
      </c>
      <c r="AA76" s="24" t="s">
        <v>327</v>
      </c>
      <c r="AB76" s="20" t="s">
        <v>328</v>
      </c>
      <c r="AC76" s="20" t="s">
        <v>329</v>
      </c>
    </row>
    <row r="77" s="5" customFormat="1" ht="81" spans="1:29">
      <c r="A77" s="20">
        <v>71</v>
      </c>
      <c r="B77" s="20" t="s">
        <v>373</v>
      </c>
      <c r="C77" s="20" t="s">
        <v>374</v>
      </c>
      <c r="D77" s="20" t="s">
        <v>375</v>
      </c>
      <c r="E77" s="22">
        <f t="shared" si="77"/>
        <v>53.33</v>
      </c>
      <c r="F77" s="23">
        <v>0</v>
      </c>
      <c r="G77" s="37">
        <v>39.72</v>
      </c>
      <c r="H77" s="23">
        <v>0</v>
      </c>
      <c r="I77" s="28">
        <f>13.61</f>
        <v>13.61</v>
      </c>
      <c r="J77" s="23">
        <f t="shared" si="71"/>
        <v>53.305647</v>
      </c>
      <c r="K77" s="23">
        <v>0</v>
      </c>
      <c r="L77" s="37">
        <v>39.695647</v>
      </c>
      <c r="M77" s="23">
        <v>0</v>
      </c>
      <c r="N77" s="23">
        <v>13.61</v>
      </c>
      <c r="O77" s="23">
        <f t="shared" si="72"/>
        <v>0.0243529999999978</v>
      </c>
      <c r="P77" s="23">
        <f t="shared" ref="P77:S77" si="84">F77-K77</f>
        <v>0</v>
      </c>
      <c r="Q77" s="23">
        <f t="shared" si="84"/>
        <v>0.0243529999999978</v>
      </c>
      <c r="R77" s="23">
        <f t="shared" si="84"/>
        <v>0</v>
      </c>
      <c r="S77" s="23">
        <f t="shared" si="84"/>
        <v>0</v>
      </c>
      <c r="T77" s="24" t="s">
        <v>90</v>
      </c>
      <c r="U77" s="24" t="s">
        <v>322</v>
      </c>
      <c r="V77" s="20" t="s">
        <v>323</v>
      </c>
      <c r="W77" s="20" t="s">
        <v>324</v>
      </c>
      <c r="X77" s="20" t="s">
        <v>336</v>
      </c>
      <c r="Y77" s="20" t="s">
        <v>231</v>
      </c>
      <c r="Z77" s="34" t="s">
        <v>326</v>
      </c>
      <c r="AA77" s="24" t="s">
        <v>327</v>
      </c>
      <c r="AB77" s="20" t="s">
        <v>328</v>
      </c>
      <c r="AC77" s="20" t="s">
        <v>329</v>
      </c>
    </row>
    <row r="78" s="5" customFormat="1" ht="81" spans="1:29">
      <c r="A78" s="20">
        <v>72</v>
      </c>
      <c r="B78" s="20" t="s">
        <v>376</v>
      </c>
      <c r="C78" s="20" t="s">
        <v>377</v>
      </c>
      <c r="D78" s="20" t="s">
        <v>378</v>
      </c>
      <c r="E78" s="22">
        <f t="shared" si="77"/>
        <v>21.62</v>
      </c>
      <c r="F78" s="23">
        <v>0</v>
      </c>
      <c r="G78" s="23">
        <v>0</v>
      </c>
      <c r="H78" s="23">
        <v>0</v>
      </c>
      <c r="I78" s="28">
        <v>21.62</v>
      </c>
      <c r="J78" s="23">
        <f t="shared" si="71"/>
        <v>21.586613</v>
      </c>
      <c r="K78" s="23">
        <v>0</v>
      </c>
      <c r="L78" s="27">
        <v>0</v>
      </c>
      <c r="M78" s="23">
        <v>0</v>
      </c>
      <c r="N78" s="23">
        <f>10.795703+10.79091</f>
        <v>21.586613</v>
      </c>
      <c r="O78" s="23">
        <f t="shared" si="72"/>
        <v>0.0333870000000012</v>
      </c>
      <c r="P78" s="23">
        <f t="shared" ref="P78:S78" si="85">F78-K78</f>
        <v>0</v>
      </c>
      <c r="Q78" s="23">
        <f t="shared" si="85"/>
        <v>0</v>
      </c>
      <c r="R78" s="23">
        <f t="shared" si="85"/>
        <v>0</v>
      </c>
      <c r="S78" s="23">
        <f t="shared" si="85"/>
        <v>0.0333870000000012</v>
      </c>
      <c r="T78" s="24" t="s">
        <v>90</v>
      </c>
      <c r="U78" s="24" t="s">
        <v>322</v>
      </c>
      <c r="V78" s="20" t="s">
        <v>323</v>
      </c>
      <c r="W78" s="20" t="s">
        <v>324</v>
      </c>
      <c r="X78" s="20" t="s">
        <v>325</v>
      </c>
      <c r="Y78" s="20" t="s">
        <v>231</v>
      </c>
      <c r="Z78" s="34" t="s">
        <v>326</v>
      </c>
      <c r="AA78" s="24" t="s">
        <v>327</v>
      </c>
      <c r="AB78" s="20" t="s">
        <v>328</v>
      </c>
      <c r="AC78" s="20" t="s">
        <v>329</v>
      </c>
    </row>
    <row r="79" s="5" customFormat="1" ht="81" spans="1:29">
      <c r="A79" s="20">
        <v>73</v>
      </c>
      <c r="B79" s="20" t="s">
        <v>379</v>
      </c>
      <c r="C79" s="20" t="s">
        <v>380</v>
      </c>
      <c r="D79" s="20" t="s">
        <v>381</v>
      </c>
      <c r="E79" s="22">
        <f t="shared" si="77"/>
        <v>3.02</v>
      </c>
      <c r="F79" s="23">
        <v>0</v>
      </c>
      <c r="G79" s="23">
        <v>0</v>
      </c>
      <c r="H79" s="23">
        <v>0</v>
      </c>
      <c r="I79" s="28">
        <v>3.02</v>
      </c>
      <c r="J79" s="23">
        <f t="shared" si="71"/>
        <v>3.012375</v>
      </c>
      <c r="K79" s="23">
        <v>0</v>
      </c>
      <c r="L79" s="27">
        <v>0</v>
      </c>
      <c r="M79" s="23">
        <v>0</v>
      </c>
      <c r="N79" s="23">
        <f>1.509974+1.502401</f>
        <v>3.012375</v>
      </c>
      <c r="O79" s="23">
        <f t="shared" si="72"/>
        <v>0.00762499999999999</v>
      </c>
      <c r="P79" s="23">
        <f t="shared" ref="P79:S79" si="86">F79-K79</f>
        <v>0</v>
      </c>
      <c r="Q79" s="23">
        <f t="shared" si="86"/>
        <v>0</v>
      </c>
      <c r="R79" s="23">
        <f t="shared" si="86"/>
        <v>0</v>
      </c>
      <c r="S79" s="23">
        <f t="shared" si="86"/>
        <v>0.00762499999999999</v>
      </c>
      <c r="T79" s="24" t="s">
        <v>90</v>
      </c>
      <c r="U79" s="24" t="s">
        <v>322</v>
      </c>
      <c r="V79" s="20" t="s">
        <v>323</v>
      </c>
      <c r="W79" s="20" t="s">
        <v>324</v>
      </c>
      <c r="X79" s="20" t="s">
        <v>325</v>
      </c>
      <c r="Y79" s="20" t="s">
        <v>231</v>
      </c>
      <c r="Z79" s="34" t="s">
        <v>326</v>
      </c>
      <c r="AA79" s="24" t="s">
        <v>327</v>
      </c>
      <c r="AB79" s="20" t="s">
        <v>328</v>
      </c>
      <c r="AC79" s="20" t="s">
        <v>329</v>
      </c>
    </row>
    <row r="80" s="5" customFormat="1" ht="239" customHeight="1" spans="1:29">
      <c r="A80" s="20">
        <v>74</v>
      </c>
      <c r="B80" s="20" t="s">
        <v>382</v>
      </c>
      <c r="C80" s="20" t="s">
        <v>383</v>
      </c>
      <c r="D80" s="20" t="s">
        <v>384</v>
      </c>
      <c r="E80" s="22">
        <f t="shared" si="77"/>
        <v>84.4</v>
      </c>
      <c r="F80" s="22">
        <v>0</v>
      </c>
      <c r="G80" s="22">
        <v>0</v>
      </c>
      <c r="H80" s="22">
        <v>0</v>
      </c>
      <c r="I80" s="30">
        <v>84.4</v>
      </c>
      <c r="J80" s="31">
        <f t="shared" si="71"/>
        <v>67.53067</v>
      </c>
      <c r="K80" s="31">
        <v>0</v>
      </c>
      <c r="L80" s="26">
        <v>0</v>
      </c>
      <c r="M80" s="22">
        <v>0</v>
      </c>
      <c r="N80" s="22">
        <f>42.2+25.33067</f>
        <v>67.53067</v>
      </c>
      <c r="O80" s="22">
        <f t="shared" si="72"/>
        <v>16.86933</v>
      </c>
      <c r="P80" s="22">
        <f t="shared" ref="P80:S80" si="87">F80-K80</f>
        <v>0</v>
      </c>
      <c r="Q80" s="22">
        <f t="shared" si="87"/>
        <v>0</v>
      </c>
      <c r="R80" s="22">
        <f t="shared" si="87"/>
        <v>0</v>
      </c>
      <c r="S80" s="22">
        <f t="shared" si="87"/>
        <v>16.86933</v>
      </c>
      <c r="T80" s="24" t="s">
        <v>90</v>
      </c>
      <c r="U80" s="24" t="s">
        <v>29</v>
      </c>
      <c r="V80" s="20" t="s">
        <v>30</v>
      </c>
      <c r="W80" s="20" t="s">
        <v>385</v>
      </c>
      <c r="X80" s="20" t="s">
        <v>386</v>
      </c>
      <c r="Y80" s="20" t="s">
        <v>387</v>
      </c>
      <c r="Z80" s="34" t="s">
        <v>326</v>
      </c>
      <c r="AA80" s="24" t="s">
        <v>327</v>
      </c>
      <c r="AB80" s="20" t="s">
        <v>388</v>
      </c>
      <c r="AC80" s="20" t="s">
        <v>389</v>
      </c>
    </row>
    <row r="81" s="5" customFormat="1" ht="395" customHeight="1" spans="1:29">
      <c r="A81" s="20">
        <v>75</v>
      </c>
      <c r="B81" s="20" t="s">
        <v>390</v>
      </c>
      <c r="C81" s="20" t="s">
        <v>391</v>
      </c>
      <c r="D81" s="20" t="s">
        <v>392</v>
      </c>
      <c r="E81" s="22">
        <f t="shared" si="77"/>
        <v>284.1</v>
      </c>
      <c r="F81" s="22">
        <v>0</v>
      </c>
      <c r="G81" s="22">
        <v>0</v>
      </c>
      <c r="H81" s="22">
        <v>0</v>
      </c>
      <c r="I81" s="30">
        <v>284.1</v>
      </c>
      <c r="J81" s="31">
        <f t="shared" si="71"/>
        <v>255.36</v>
      </c>
      <c r="K81" s="31">
        <v>0</v>
      </c>
      <c r="L81" s="26">
        <v>0</v>
      </c>
      <c r="M81" s="22">
        <v>0</v>
      </c>
      <c r="N81" s="22">
        <f>142.05+113.31</f>
        <v>255.36</v>
      </c>
      <c r="O81" s="22">
        <f t="shared" si="72"/>
        <v>28.74</v>
      </c>
      <c r="P81" s="22">
        <f t="shared" ref="P81:S81" si="88">F81-K81</f>
        <v>0</v>
      </c>
      <c r="Q81" s="22">
        <f t="shared" si="88"/>
        <v>0</v>
      </c>
      <c r="R81" s="22">
        <f t="shared" si="88"/>
        <v>0</v>
      </c>
      <c r="S81" s="22">
        <f t="shared" si="88"/>
        <v>28.74</v>
      </c>
      <c r="T81" s="24" t="s">
        <v>90</v>
      </c>
      <c r="U81" s="24" t="s">
        <v>29</v>
      </c>
      <c r="V81" s="20" t="s">
        <v>30</v>
      </c>
      <c r="W81" s="20" t="s">
        <v>385</v>
      </c>
      <c r="X81" s="20" t="s">
        <v>393</v>
      </c>
      <c r="Y81" s="20" t="s">
        <v>387</v>
      </c>
      <c r="Z81" s="34" t="s">
        <v>326</v>
      </c>
      <c r="AA81" s="24" t="s">
        <v>327</v>
      </c>
      <c r="AB81" s="20" t="s">
        <v>388</v>
      </c>
      <c r="AC81" s="20" t="s">
        <v>389</v>
      </c>
    </row>
    <row r="82" s="5" customFormat="1" ht="409.5" spans="1:29">
      <c r="A82" s="20">
        <v>76</v>
      </c>
      <c r="B82" s="20" t="s">
        <v>394</v>
      </c>
      <c r="C82" s="20" t="s">
        <v>84</v>
      </c>
      <c r="D82" s="20" t="s">
        <v>395</v>
      </c>
      <c r="E82" s="22">
        <f t="shared" si="77"/>
        <v>128.3</v>
      </c>
      <c r="F82" s="22">
        <v>0</v>
      </c>
      <c r="G82" s="22">
        <v>0</v>
      </c>
      <c r="H82" s="22">
        <v>0</v>
      </c>
      <c r="I82" s="30">
        <v>128.3</v>
      </c>
      <c r="J82" s="31">
        <f t="shared" si="71"/>
        <v>111.8</v>
      </c>
      <c r="K82" s="31">
        <v>0</v>
      </c>
      <c r="L82" s="26">
        <v>0</v>
      </c>
      <c r="M82" s="22">
        <v>0</v>
      </c>
      <c r="N82" s="22">
        <f>64.15+47.65</f>
        <v>111.8</v>
      </c>
      <c r="O82" s="22">
        <f t="shared" si="72"/>
        <v>16.5</v>
      </c>
      <c r="P82" s="22">
        <f t="shared" ref="P82:S82" si="89">F82-K82</f>
        <v>0</v>
      </c>
      <c r="Q82" s="22">
        <f t="shared" si="89"/>
        <v>0</v>
      </c>
      <c r="R82" s="22">
        <f t="shared" si="89"/>
        <v>0</v>
      </c>
      <c r="S82" s="22">
        <f t="shared" si="89"/>
        <v>16.5</v>
      </c>
      <c r="T82" s="24" t="s">
        <v>90</v>
      </c>
      <c r="U82" s="24" t="s">
        <v>29</v>
      </c>
      <c r="V82" s="20" t="s">
        <v>30</v>
      </c>
      <c r="W82" s="20" t="s">
        <v>385</v>
      </c>
      <c r="X82" s="20" t="s">
        <v>396</v>
      </c>
      <c r="Y82" s="20" t="s">
        <v>387</v>
      </c>
      <c r="Z82" s="34" t="s">
        <v>326</v>
      </c>
      <c r="AA82" s="24" t="s">
        <v>327</v>
      </c>
      <c r="AB82" s="20" t="s">
        <v>388</v>
      </c>
      <c r="AC82" s="20" t="s">
        <v>389</v>
      </c>
    </row>
    <row r="83" s="5" customFormat="1" ht="409.5" spans="1:29">
      <c r="A83" s="20">
        <v>77</v>
      </c>
      <c r="B83" s="20" t="s">
        <v>397</v>
      </c>
      <c r="C83" s="21" t="s">
        <v>398</v>
      </c>
      <c r="D83" s="20" t="s">
        <v>399</v>
      </c>
      <c r="E83" s="22">
        <f t="shared" si="77"/>
        <v>203.2</v>
      </c>
      <c r="F83" s="22">
        <v>0</v>
      </c>
      <c r="G83" s="22">
        <v>0</v>
      </c>
      <c r="H83" s="22">
        <v>0</v>
      </c>
      <c r="I83" s="22">
        <v>203.2</v>
      </c>
      <c r="J83" s="31">
        <f t="shared" si="71"/>
        <v>197.3</v>
      </c>
      <c r="K83" s="31">
        <v>0</v>
      </c>
      <c r="L83" s="26">
        <v>0</v>
      </c>
      <c r="M83" s="22">
        <v>0</v>
      </c>
      <c r="N83" s="22">
        <f>110+87.3</f>
        <v>197.3</v>
      </c>
      <c r="O83" s="22">
        <f t="shared" si="72"/>
        <v>5.89999999999998</v>
      </c>
      <c r="P83" s="22">
        <f t="shared" ref="P83:S83" si="90">F83-K83</f>
        <v>0</v>
      </c>
      <c r="Q83" s="22">
        <f t="shared" si="90"/>
        <v>0</v>
      </c>
      <c r="R83" s="22">
        <f t="shared" si="90"/>
        <v>0</v>
      </c>
      <c r="S83" s="22">
        <f t="shared" si="90"/>
        <v>5.89999999999998</v>
      </c>
      <c r="T83" s="24" t="s">
        <v>90</v>
      </c>
      <c r="U83" s="24" t="s">
        <v>29</v>
      </c>
      <c r="V83" s="20" t="s">
        <v>30</v>
      </c>
      <c r="W83" s="20" t="s">
        <v>385</v>
      </c>
      <c r="X83" s="20" t="s">
        <v>400</v>
      </c>
      <c r="Y83" s="20" t="s">
        <v>387</v>
      </c>
      <c r="Z83" s="34" t="s">
        <v>326</v>
      </c>
      <c r="AA83" s="24" t="s">
        <v>327</v>
      </c>
      <c r="AB83" s="20" t="s">
        <v>388</v>
      </c>
      <c r="AC83" s="20" t="s">
        <v>389</v>
      </c>
    </row>
    <row r="84" s="5" customFormat="1" ht="57" customHeight="1" spans="1:29">
      <c r="A84" s="20">
        <v>78</v>
      </c>
      <c r="B84" s="20" t="s">
        <v>401</v>
      </c>
      <c r="C84" s="21" t="s">
        <v>26</v>
      </c>
      <c r="D84" s="20" t="s">
        <v>402</v>
      </c>
      <c r="E84" s="22">
        <f t="shared" si="77"/>
        <v>300</v>
      </c>
      <c r="F84" s="23">
        <v>0</v>
      </c>
      <c r="G84" s="23">
        <v>0</v>
      </c>
      <c r="H84" s="23">
        <v>0</v>
      </c>
      <c r="I84" s="23">
        <v>300</v>
      </c>
      <c r="J84" s="23">
        <f t="shared" si="71"/>
        <v>295.35</v>
      </c>
      <c r="K84" s="23">
        <v>0</v>
      </c>
      <c r="L84" s="23">
        <v>0</v>
      </c>
      <c r="M84" s="23">
        <v>0</v>
      </c>
      <c r="N84" s="23">
        <f>10.44+36.76+80.02+17.48+150.65</f>
        <v>295.35</v>
      </c>
      <c r="O84" s="23">
        <f t="shared" si="72"/>
        <v>4.64999999999998</v>
      </c>
      <c r="P84" s="23">
        <f t="shared" ref="P84:S84" si="91">F84-K84</f>
        <v>0</v>
      </c>
      <c r="Q84" s="23">
        <f t="shared" si="91"/>
        <v>0</v>
      </c>
      <c r="R84" s="23">
        <f t="shared" si="91"/>
        <v>0</v>
      </c>
      <c r="S84" s="23">
        <f t="shared" si="91"/>
        <v>4.64999999999998</v>
      </c>
      <c r="T84" s="24" t="s">
        <v>46</v>
      </c>
      <c r="U84" s="24" t="s">
        <v>29</v>
      </c>
      <c r="V84" s="24" t="s">
        <v>30</v>
      </c>
      <c r="W84" s="24">
        <v>2023.1</v>
      </c>
      <c r="X84" s="24"/>
      <c r="Y84" s="20" t="s">
        <v>403</v>
      </c>
      <c r="Z84" s="34" t="s">
        <v>326</v>
      </c>
      <c r="AA84" s="24" t="s">
        <v>327</v>
      </c>
      <c r="AB84" s="24" t="s">
        <v>404</v>
      </c>
      <c r="AC84" s="24" t="s">
        <v>405</v>
      </c>
    </row>
    <row r="85" s="5" customFormat="1" ht="94.5" spans="1:29">
      <c r="A85" s="20">
        <v>79</v>
      </c>
      <c r="B85" s="20" t="s">
        <v>406</v>
      </c>
      <c r="C85" s="21" t="s">
        <v>26</v>
      </c>
      <c r="D85" s="20" t="s">
        <v>407</v>
      </c>
      <c r="E85" s="22">
        <f t="shared" si="77"/>
        <v>60</v>
      </c>
      <c r="F85" s="23">
        <v>0</v>
      </c>
      <c r="G85" s="23">
        <v>0</v>
      </c>
      <c r="H85" s="23">
        <v>0</v>
      </c>
      <c r="I85" s="23">
        <v>60</v>
      </c>
      <c r="J85" s="23">
        <f t="shared" si="71"/>
        <v>46.696592</v>
      </c>
      <c r="K85" s="23">
        <v>0</v>
      </c>
      <c r="L85" s="23">
        <v>0</v>
      </c>
      <c r="M85" s="23">
        <v>0</v>
      </c>
      <c r="N85" s="23">
        <f>1+0.539+1.4843+1.7971+1+3.8857+5.3315+0.519792+0.1902+3.0351+1.0915+4.6047+14.5977+7.62</f>
        <v>46.696592</v>
      </c>
      <c r="O85" s="23">
        <f t="shared" si="72"/>
        <v>13.303408</v>
      </c>
      <c r="P85" s="23">
        <f t="shared" ref="P85:S85" si="92">F85-K85</f>
        <v>0</v>
      </c>
      <c r="Q85" s="23">
        <f t="shared" si="92"/>
        <v>0</v>
      </c>
      <c r="R85" s="23">
        <f t="shared" si="92"/>
        <v>0</v>
      </c>
      <c r="S85" s="23">
        <f t="shared" si="92"/>
        <v>13.303408</v>
      </c>
      <c r="T85" s="24" t="s">
        <v>46</v>
      </c>
      <c r="U85" s="24" t="s">
        <v>29</v>
      </c>
      <c r="V85" s="20" t="s">
        <v>30</v>
      </c>
      <c r="W85" s="20" t="s">
        <v>408</v>
      </c>
      <c r="X85" s="20"/>
      <c r="Y85" s="20"/>
      <c r="Z85" s="34" t="s">
        <v>326</v>
      </c>
      <c r="AA85" s="24" t="s">
        <v>327</v>
      </c>
      <c r="AB85" s="21" t="s">
        <v>409</v>
      </c>
      <c r="AC85" s="21" t="s">
        <v>410</v>
      </c>
    </row>
    <row r="86" s="5" customFormat="1" ht="48" customHeight="1" spans="1:29">
      <c r="A86" s="38">
        <v>80</v>
      </c>
      <c r="B86" s="20" t="s">
        <v>411</v>
      </c>
      <c r="C86" s="21" t="s">
        <v>26</v>
      </c>
      <c r="D86" s="20" t="s">
        <v>412</v>
      </c>
      <c r="E86" s="22">
        <f t="shared" si="77"/>
        <v>270</v>
      </c>
      <c r="F86" s="23">
        <v>0</v>
      </c>
      <c r="G86" s="23">
        <v>0</v>
      </c>
      <c r="H86" s="23">
        <v>0</v>
      </c>
      <c r="I86" s="23">
        <v>270</v>
      </c>
      <c r="J86" s="23">
        <f t="shared" ref="J86:J103" si="93">K86+L86+M86+N86</f>
        <v>270</v>
      </c>
      <c r="K86" s="23">
        <v>0</v>
      </c>
      <c r="L86" s="27">
        <v>0</v>
      </c>
      <c r="M86" s="23">
        <v>0</v>
      </c>
      <c r="N86" s="23">
        <f>20+60+190</f>
        <v>270</v>
      </c>
      <c r="O86" s="23">
        <f t="shared" ref="O86:O103" si="94">P86+Q86+R86+S86</f>
        <v>0</v>
      </c>
      <c r="P86" s="23">
        <f t="shared" ref="P86:S86" si="95">F86-K86</f>
        <v>0</v>
      </c>
      <c r="Q86" s="23">
        <f t="shared" si="95"/>
        <v>0</v>
      </c>
      <c r="R86" s="23">
        <f t="shared" si="95"/>
        <v>0</v>
      </c>
      <c r="S86" s="23">
        <f t="shared" si="95"/>
        <v>0</v>
      </c>
      <c r="T86" s="24" t="s">
        <v>28</v>
      </c>
      <c r="U86" s="24" t="s">
        <v>29</v>
      </c>
      <c r="V86" s="20" t="s">
        <v>30</v>
      </c>
      <c r="W86" s="38" t="s">
        <v>413</v>
      </c>
      <c r="X86" s="38" t="s">
        <v>414</v>
      </c>
      <c r="Y86" s="34" t="s">
        <v>415</v>
      </c>
      <c r="Z86" s="34" t="s">
        <v>326</v>
      </c>
      <c r="AA86" s="24" t="s">
        <v>327</v>
      </c>
      <c r="AB86" s="21" t="s">
        <v>416</v>
      </c>
      <c r="AC86" s="21" t="s">
        <v>417</v>
      </c>
    </row>
    <row r="87" s="5" customFormat="1" ht="45" customHeight="1" spans="1:29">
      <c r="A87" s="39"/>
      <c r="B87" s="20"/>
      <c r="C87" s="21"/>
      <c r="D87" s="20"/>
      <c r="E87" s="22">
        <f t="shared" si="77"/>
        <v>0</v>
      </c>
      <c r="F87" s="37">
        <v>0</v>
      </c>
      <c r="G87" s="37">
        <v>0</v>
      </c>
      <c r="H87" s="37">
        <v>0</v>
      </c>
      <c r="I87" s="37">
        <v>0</v>
      </c>
      <c r="J87" s="23">
        <f t="shared" si="93"/>
        <v>5</v>
      </c>
      <c r="K87" s="37">
        <v>0</v>
      </c>
      <c r="L87" s="37">
        <v>0</v>
      </c>
      <c r="M87" s="37">
        <v>0</v>
      </c>
      <c r="N87" s="37">
        <v>5</v>
      </c>
      <c r="O87" s="23">
        <f t="shared" si="94"/>
        <v>-5</v>
      </c>
      <c r="P87" s="23">
        <f t="shared" ref="P87:S87" si="96">F87-K87</f>
        <v>0</v>
      </c>
      <c r="Q87" s="23">
        <f t="shared" si="96"/>
        <v>0</v>
      </c>
      <c r="R87" s="23">
        <f t="shared" si="96"/>
        <v>0</v>
      </c>
      <c r="S87" s="23">
        <f t="shared" si="96"/>
        <v>-5</v>
      </c>
      <c r="T87" s="24"/>
      <c r="U87" s="24"/>
      <c r="V87" s="20"/>
      <c r="W87" s="39"/>
      <c r="X87" s="39"/>
      <c r="Y87" s="34"/>
      <c r="Z87" s="34" t="s">
        <v>326</v>
      </c>
      <c r="AA87" s="21" t="s">
        <v>418</v>
      </c>
      <c r="AB87" s="21"/>
      <c r="AC87" s="21"/>
    </row>
    <row r="88" s="5" customFormat="1" ht="47" customHeight="1" spans="1:29">
      <c r="A88" s="20">
        <v>82</v>
      </c>
      <c r="B88" s="20" t="s">
        <v>419</v>
      </c>
      <c r="C88" s="21" t="s">
        <v>420</v>
      </c>
      <c r="D88" s="20" t="s">
        <v>421</v>
      </c>
      <c r="E88" s="22">
        <f t="shared" si="77"/>
        <v>60</v>
      </c>
      <c r="F88" s="22">
        <v>0</v>
      </c>
      <c r="G88" s="22">
        <v>0</v>
      </c>
      <c r="H88" s="22">
        <v>0</v>
      </c>
      <c r="I88" s="22">
        <v>60</v>
      </c>
      <c r="J88" s="31">
        <f t="shared" si="93"/>
        <v>8.852</v>
      </c>
      <c r="K88" s="31">
        <v>0</v>
      </c>
      <c r="L88" s="26">
        <v>0</v>
      </c>
      <c r="M88" s="22">
        <v>0</v>
      </c>
      <c r="N88" s="22">
        <v>8.852</v>
      </c>
      <c r="O88" s="22">
        <f t="shared" si="94"/>
        <v>51.148</v>
      </c>
      <c r="P88" s="22">
        <f t="shared" ref="P88:S88" si="97">F88-K88</f>
        <v>0</v>
      </c>
      <c r="Q88" s="22">
        <f t="shared" si="97"/>
        <v>0</v>
      </c>
      <c r="R88" s="22">
        <f t="shared" si="97"/>
        <v>0</v>
      </c>
      <c r="S88" s="22">
        <f t="shared" si="97"/>
        <v>51.148</v>
      </c>
      <c r="T88" s="24" t="s">
        <v>28</v>
      </c>
      <c r="U88" s="24" t="s">
        <v>54</v>
      </c>
      <c r="V88" s="20" t="s">
        <v>55</v>
      </c>
      <c r="W88" s="20"/>
      <c r="X88" s="20"/>
      <c r="Y88" s="20"/>
      <c r="Z88" s="34" t="s">
        <v>326</v>
      </c>
      <c r="AA88" s="24" t="s">
        <v>327</v>
      </c>
      <c r="AB88" s="21"/>
      <c r="AC88" s="21"/>
    </row>
    <row r="89" s="5" customFormat="1" ht="75" customHeight="1" spans="1:29">
      <c r="A89" s="20">
        <v>83</v>
      </c>
      <c r="B89" s="24" t="s">
        <v>422</v>
      </c>
      <c r="C89" s="24" t="s">
        <v>423</v>
      </c>
      <c r="D89" s="24" t="s">
        <v>424</v>
      </c>
      <c r="E89" s="22">
        <f t="shared" si="77"/>
        <v>96</v>
      </c>
      <c r="F89" s="23">
        <v>0</v>
      </c>
      <c r="G89" s="23">
        <v>0</v>
      </c>
      <c r="H89" s="23">
        <v>96</v>
      </c>
      <c r="I89" s="23">
        <v>0</v>
      </c>
      <c r="J89" s="23">
        <f t="shared" si="93"/>
        <v>95.4056984</v>
      </c>
      <c r="K89" s="23">
        <v>0</v>
      </c>
      <c r="L89" s="27">
        <v>0</v>
      </c>
      <c r="M89" s="23">
        <f>60+35.4056984</f>
        <v>95.4056984</v>
      </c>
      <c r="N89" s="23">
        <v>0</v>
      </c>
      <c r="O89" s="23">
        <f t="shared" si="94"/>
        <v>0.594301599999994</v>
      </c>
      <c r="P89" s="23">
        <f t="shared" ref="P89:S89" si="98">F89-K89</f>
        <v>0</v>
      </c>
      <c r="Q89" s="23">
        <f t="shared" si="98"/>
        <v>0</v>
      </c>
      <c r="R89" s="23">
        <f t="shared" si="98"/>
        <v>0.594301599999994</v>
      </c>
      <c r="S89" s="23">
        <f t="shared" si="98"/>
        <v>0</v>
      </c>
      <c r="T89" s="24" t="s">
        <v>90</v>
      </c>
      <c r="U89" s="24" t="s">
        <v>425</v>
      </c>
      <c r="V89" s="20" t="s">
        <v>426</v>
      </c>
      <c r="W89" s="20" t="s">
        <v>427</v>
      </c>
      <c r="X89" s="20" t="s">
        <v>428</v>
      </c>
      <c r="Y89" s="20" t="s">
        <v>429</v>
      </c>
      <c r="Z89" s="43" t="s">
        <v>430</v>
      </c>
      <c r="AA89" s="24" t="s">
        <v>431</v>
      </c>
      <c r="AB89" s="24" t="s">
        <v>432</v>
      </c>
      <c r="AC89" s="24" t="s">
        <v>433</v>
      </c>
    </row>
    <row r="90" s="5" customFormat="1" ht="56" customHeight="1" spans="1:29">
      <c r="A90" s="20">
        <v>84</v>
      </c>
      <c r="B90" s="21" t="s">
        <v>434</v>
      </c>
      <c r="C90" s="24" t="s">
        <v>156</v>
      </c>
      <c r="D90" s="20" t="s">
        <v>435</v>
      </c>
      <c r="E90" s="22">
        <f t="shared" si="77"/>
        <v>39.2</v>
      </c>
      <c r="F90" s="23">
        <v>0</v>
      </c>
      <c r="G90" s="23">
        <v>0</v>
      </c>
      <c r="H90" s="23">
        <v>39.2</v>
      </c>
      <c r="I90" s="23">
        <v>0</v>
      </c>
      <c r="J90" s="23">
        <f t="shared" si="93"/>
        <v>39.17</v>
      </c>
      <c r="K90" s="23">
        <v>0</v>
      </c>
      <c r="L90" s="27">
        <v>0</v>
      </c>
      <c r="M90" s="23">
        <v>39.17</v>
      </c>
      <c r="N90" s="23">
        <v>0</v>
      </c>
      <c r="O90" s="23">
        <f t="shared" si="94"/>
        <v>0.0300000000000011</v>
      </c>
      <c r="P90" s="23">
        <f t="shared" ref="P90:S90" si="99">F90-K90</f>
        <v>0</v>
      </c>
      <c r="Q90" s="23">
        <f t="shared" si="99"/>
        <v>0</v>
      </c>
      <c r="R90" s="23">
        <f t="shared" si="99"/>
        <v>0.0300000000000011</v>
      </c>
      <c r="S90" s="23">
        <f t="shared" si="99"/>
        <v>0</v>
      </c>
      <c r="T90" s="24" t="s">
        <v>90</v>
      </c>
      <c r="U90" s="21" t="s">
        <v>29</v>
      </c>
      <c r="V90" s="20" t="s">
        <v>30</v>
      </c>
      <c r="W90" s="20" t="s">
        <v>436</v>
      </c>
      <c r="X90" s="20" t="s">
        <v>386</v>
      </c>
      <c r="Y90" s="20" t="s">
        <v>437</v>
      </c>
      <c r="Z90" s="43" t="s">
        <v>438</v>
      </c>
      <c r="AA90" s="24" t="s">
        <v>431</v>
      </c>
      <c r="AB90" s="20" t="s">
        <v>95</v>
      </c>
      <c r="AC90" s="20" t="s">
        <v>96</v>
      </c>
    </row>
    <row r="91" s="5" customFormat="1" ht="94.5" spans="1:29">
      <c r="A91" s="20">
        <v>85</v>
      </c>
      <c r="B91" s="21" t="s">
        <v>439</v>
      </c>
      <c r="C91" s="24" t="s">
        <v>440</v>
      </c>
      <c r="D91" s="20" t="s">
        <v>441</v>
      </c>
      <c r="E91" s="22">
        <f t="shared" si="77"/>
        <v>50</v>
      </c>
      <c r="F91" s="23">
        <v>0</v>
      </c>
      <c r="G91" s="23">
        <v>28.7</v>
      </c>
      <c r="H91" s="23">
        <v>21.3</v>
      </c>
      <c r="I91" s="23">
        <v>0</v>
      </c>
      <c r="J91" s="23">
        <f t="shared" si="93"/>
        <v>50</v>
      </c>
      <c r="K91" s="23">
        <v>0</v>
      </c>
      <c r="L91" s="37">
        <v>28.7</v>
      </c>
      <c r="M91" s="23">
        <v>21.3</v>
      </c>
      <c r="N91" s="23">
        <v>0</v>
      </c>
      <c r="O91" s="23">
        <f t="shared" si="94"/>
        <v>0</v>
      </c>
      <c r="P91" s="23">
        <f t="shared" ref="P91:S91" si="100">F91-K91</f>
        <v>0</v>
      </c>
      <c r="Q91" s="23">
        <f t="shared" si="100"/>
        <v>0</v>
      </c>
      <c r="R91" s="23">
        <f t="shared" si="100"/>
        <v>0</v>
      </c>
      <c r="S91" s="23">
        <f t="shared" si="100"/>
        <v>0</v>
      </c>
      <c r="T91" s="24" t="s">
        <v>90</v>
      </c>
      <c r="U91" s="21" t="s">
        <v>29</v>
      </c>
      <c r="V91" s="20" t="s">
        <v>30</v>
      </c>
      <c r="W91" s="20" t="s">
        <v>442</v>
      </c>
      <c r="X91" s="20" t="s">
        <v>443</v>
      </c>
      <c r="Y91" s="20" t="s">
        <v>437</v>
      </c>
      <c r="Z91" s="43" t="s">
        <v>444</v>
      </c>
      <c r="AA91" s="24" t="s">
        <v>445</v>
      </c>
      <c r="AB91" s="20" t="s">
        <v>328</v>
      </c>
      <c r="AC91" s="20" t="s">
        <v>329</v>
      </c>
    </row>
    <row r="92" s="5" customFormat="1" ht="67.5" spans="1:29">
      <c r="A92" s="20">
        <v>86</v>
      </c>
      <c r="B92" s="21" t="s">
        <v>446</v>
      </c>
      <c r="C92" s="24" t="s">
        <v>447</v>
      </c>
      <c r="D92" s="20" t="s">
        <v>448</v>
      </c>
      <c r="E92" s="22">
        <f t="shared" si="77"/>
        <v>58.5</v>
      </c>
      <c r="F92" s="23">
        <v>0</v>
      </c>
      <c r="G92" s="23">
        <v>0</v>
      </c>
      <c r="H92" s="23">
        <v>58.5</v>
      </c>
      <c r="I92" s="23">
        <v>0</v>
      </c>
      <c r="J92" s="23">
        <f t="shared" si="93"/>
        <v>58.425</v>
      </c>
      <c r="K92" s="23">
        <v>0</v>
      </c>
      <c r="L92" s="27">
        <v>0</v>
      </c>
      <c r="M92" s="23">
        <v>58.425</v>
      </c>
      <c r="N92" s="23">
        <v>0</v>
      </c>
      <c r="O92" s="23">
        <f t="shared" si="94"/>
        <v>0.0750000000000028</v>
      </c>
      <c r="P92" s="23">
        <f t="shared" ref="P92:S92" si="101">F92-K92</f>
        <v>0</v>
      </c>
      <c r="Q92" s="23">
        <f t="shared" si="101"/>
        <v>0</v>
      </c>
      <c r="R92" s="23">
        <f t="shared" si="101"/>
        <v>0.0750000000000028</v>
      </c>
      <c r="S92" s="23">
        <f t="shared" si="101"/>
        <v>0</v>
      </c>
      <c r="T92" s="24" t="s">
        <v>28</v>
      </c>
      <c r="U92" s="21" t="s">
        <v>29</v>
      </c>
      <c r="V92" s="20" t="s">
        <v>30</v>
      </c>
      <c r="W92" s="20" t="s">
        <v>449</v>
      </c>
      <c r="X92" s="20" t="s">
        <v>450</v>
      </c>
      <c r="Y92" s="20" t="s">
        <v>437</v>
      </c>
      <c r="Z92" s="43" t="s">
        <v>438</v>
      </c>
      <c r="AA92" s="24" t="s">
        <v>431</v>
      </c>
      <c r="AB92" s="20" t="s">
        <v>95</v>
      </c>
      <c r="AC92" s="20" t="s">
        <v>96</v>
      </c>
    </row>
    <row r="93" s="5" customFormat="1" ht="74" customHeight="1" spans="1:29">
      <c r="A93" s="20">
        <v>87</v>
      </c>
      <c r="B93" s="21" t="s">
        <v>451</v>
      </c>
      <c r="C93" s="24" t="s">
        <v>452</v>
      </c>
      <c r="D93" s="20" t="s">
        <v>453</v>
      </c>
      <c r="E93" s="22">
        <f t="shared" si="77"/>
        <v>25</v>
      </c>
      <c r="F93" s="23">
        <v>0</v>
      </c>
      <c r="G93" s="23">
        <v>0</v>
      </c>
      <c r="H93" s="23">
        <v>25</v>
      </c>
      <c r="I93" s="23">
        <v>0</v>
      </c>
      <c r="J93" s="23">
        <f t="shared" si="93"/>
        <v>25</v>
      </c>
      <c r="K93" s="23">
        <v>0</v>
      </c>
      <c r="L93" s="27">
        <v>0</v>
      </c>
      <c r="M93" s="23">
        <f>12.5+12.5</f>
        <v>25</v>
      </c>
      <c r="N93" s="23">
        <v>0</v>
      </c>
      <c r="O93" s="23">
        <f t="shared" si="94"/>
        <v>0</v>
      </c>
      <c r="P93" s="23">
        <f t="shared" ref="P93:S93" si="102">F93-K93</f>
        <v>0</v>
      </c>
      <c r="Q93" s="23">
        <f t="shared" si="102"/>
        <v>0</v>
      </c>
      <c r="R93" s="23">
        <f t="shared" si="102"/>
        <v>0</v>
      </c>
      <c r="S93" s="23">
        <f t="shared" si="102"/>
        <v>0</v>
      </c>
      <c r="T93" s="24" t="s">
        <v>90</v>
      </c>
      <c r="U93" s="21" t="s">
        <v>29</v>
      </c>
      <c r="V93" s="20" t="s">
        <v>30</v>
      </c>
      <c r="W93" s="20" t="s">
        <v>454</v>
      </c>
      <c r="X93" s="20" t="s">
        <v>455</v>
      </c>
      <c r="Y93" s="20" t="s">
        <v>437</v>
      </c>
      <c r="Z93" s="43" t="s">
        <v>438</v>
      </c>
      <c r="AA93" s="24" t="s">
        <v>431</v>
      </c>
      <c r="AB93" s="20" t="s">
        <v>95</v>
      </c>
      <c r="AC93" s="20" t="s">
        <v>96</v>
      </c>
    </row>
    <row r="94" s="5" customFormat="1" ht="67.5" spans="1:29">
      <c r="A94" s="20">
        <v>88</v>
      </c>
      <c r="B94" s="21" t="s">
        <v>456</v>
      </c>
      <c r="C94" s="20" t="s">
        <v>457</v>
      </c>
      <c r="D94" s="20" t="s">
        <v>458</v>
      </c>
      <c r="E94" s="22">
        <f t="shared" si="77"/>
        <v>20</v>
      </c>
      <c r="F94" s="23">
        <v>0</v>
      </c>
      <c r="G94" s="23">
        <v>0</v>
      </c>
      <c r="H94" s="23">
        <v>20</v>
      </c>
      <c r="I94" s="23">
        <v>0</v>
      </c>
      <c r="J94" s="23">
        <f t="shared" si="93"/>
        <v>20</v>
      </c>
      <c r="K94" s="23">
        <v>0</v>
      </c>
      <c r="L94" s="27">
        <v>0</v>
      </c>
      <c r="M94" s="23">
        <v>20</v>
      </c>
      <c r="N94" s="23">
        <v>0</v>
      </c>
      <c r="O94" s="23">
        <f t="shared" si="94"/>
        <v>0</v>
      </c>
      <c r="P94" s="23">
        <f t="shared" ref="P94:S94" si="103">F94-K94</f>
        <v>0</v>
      </c>
      <c r="Q94" s="23">
        <f t="shared" si="103"/>
        <v>0</v>
      </c>
      <c r="R94" s="23">
        <f t="shared" si="103"/>
        <v>0</v>
      </c>
      <c r="S94" s="23">
        <f t="shared" si="103"/>
        <v>0</v>
      </c>
      <c r="T94" s="24" t="s">
        <v>90</v>
      </c>
      <c r="U94" s="21" t="s">
        <v>29</v>
      </c>
      <c r="V94" s="20" t="s">
        <v>30</v>
      </c>
      <c r="W94" s="20" t="s">
        <v>459</v>
      </c>
      <c r="X94" s="20" t="s">
        <v>455</v>
      </c>
      <c r="Y94" s="20" t="s">
        <v>437</v>
      </c>
      <c r="Z94" s="43" t="s">
        <v>438</v>
      </c>
      <c r="AA94" s="24" t="s">
        <v>431</v>
      </c>
      <c r="AB94" s="20" t="s">
        <v>95</v>
      </c>
      <c r="AC94" s="20" t="s">
        <v>96</v>
      </c>
    </row>
    <row r="95" s="5" customFormat="1" ht="67.5" spans="1:29">
      <c r="A95" s="20">
        <v>89</v>
      </c>
      <c r="B95" s="21" t="s">
        <v>460</v>
      </c>
      <c r="C95" s="20" t="s">
        <v>461</v>
      </c>
      <c r="D95" s="20" t="s">
        <v>462</v>
      </c>
      <c r="E95" s="22">
        <f t="shared" si="77"/>
        <v>16</v>
      </c>
      <c r="F95" s="37">
        <v>0</v>
      </c>
      <c r="G95" s="37">
        <v>0</v>
      </c>
      <c r="H95" s="37">
        <v>16</v>
      </c>
      <c r="I95" s="37">
        <v>0</v>
      </c>
      <c r="J95" s="23">
        <f t="shared" si="93"/>
        <v>16</v>
      </c>
      <c r="K95" s="37">
        <v>0</v>
      </c>
      <c r="L95" s="37">
        <v>0</v>
      </c>
      <c r="M95" s="37">
        <v>16</v>
      </c>
      <c r="N95" s="37">
        <v>0</v>
      </c>
      <c r="O95" s="23">
        <f t="shared" si="94"/>
        <v>0</v>
      </c>
      <c r="P95" s="23">
        <f t="shared" ref="P95:S95" si="104">F95-K95</f>
        <v>0</v>
      </c>
      <c r="Q95" s="23">
        <f t="shared" si="104"/>
        <v>0</v>
      </c>
      <c r="R95" s="23">
        <f t="shared" si="104"/>
        <v>0</v>
      </c>
      <c r="S95" s="23">
        <f t="shared" si="104"/>
        <v>0</v>
      </c>
      <c r="T95" s="24" t="s">
        <v>90</v>
      </c>
      <c r="U95" s="21" t="s">
        <v>29</v>
      </c>
      <c r="V95" s="20" t="s">
        <v>30</v>
      </c>
      <c r="W95" s="20" t="s">
        <v>463</v>
      </c>
      <c r="X95" s="20" t="s">
        <v>464</v>
      </c>
      <c r="Y95" s="20" t="s">
        <v>437</v>
      </c>
      <c r="Z95" s="43" t="s">
        <v>438</v>
      </c>
      <c r="AA95" s="24" t="s">
        <v>431</v>
      </c>
      <c r="AB95" s="20" t="s">
        <v>95</v>
      </c>
      <c r="AC95" s="20" t="s">
        <v>96</v>
      </c>
    </row>
    <row r="96" s="5" customFormat="1" ht="67.5" spans="1:29">
      <c r="A96" s="20">
        <v>90</v>
      </c>
      <c r="B96" s="21" t="s">
        <v>465</v>
      </c>
      <c r="C96" s="21" t="s">
        <v>466</v>
      </c>
      <c r="D96" s="21" t="s">
        <v>467</v>
      </c>
      <c r="E96" s="22">
        <f t="shared" si="77"/>
        <v>40.34</v>
      </c>
      <c r="F96" s="37">
        <v>0</v>
      </c>
      <c r="G96" s="37">
        <v>0</v>
      </c>
      <c r="H96" s="37">
        <v>40.34</v>
      </c>
      <c r="I96" s="37">
        <v>0</v>
      </c>
      <c r="J96" s="23">
        <f t="shared" si="93"/>
        <v>40.22953</v>
      </c>
      <c r="K96" s="37">
        <v>0</v>
      </c>
      <c r="L96" s="37">
        <v>0</v>
      </c>
      <c r="M96" s="37">
        <f>20.167+20.06253</f>
        <v>40.22953</v>
      </c>
      <c r="N96" s="37">
        <v>0</v>
      </c>
      <c r="O96" s="23">
        <f t="shared" si="94"/>
        <v>0.110470000000007</v>
      </c>
      <c r="P96" s="23">
        <f t="shared" ref="P96:S96" si="105">F96-K96</f>
        <v>0</v>
      </c>
      <c r="Q96" s="23">
        <f t="shared" si="105"/>
        <v>0</v>
      </c>
      <c r="R96" s="23">
        <f t="shared" si="105"/>
        <v>0.110470000000007</v>
      </c>
      <c r="S96" s="23">
        <f t="shared" si="105"/>
        <v>0</v>
      </c>
      <c r="T96" s="24" t="s">
        <v>90</v>
      </c>
      <c r="U96" s="24" t="s">
        <v>91</v>
      </c>
      <c r="V96" s="20" t="s">
        <v>92</v>
      </c>
      <c r="W96" s="20" t="s">
        <v>93</v>
      </c>
      <c r="X96" s="20" t="s">
        <v>94</v>
      </c>
      <c r="Y96" s="20" t="s">
        <v>58</v>
      </c>
      <c r="Z96" s="43" t="s">
        <v>438</v>
      </c>
      <c r="AA96" s="24" t="s">
        <v>431</v>
      </c>
      <c r="AB96" s="20" t="s">
        <v>95</v>
      </c>
      <c r="AC96" s="20" t="s">
        <v>96</v>
      </c>
    </row>
    <row r="97" s="5" customFormat="1" ht="67.5" spans="1:29">
      <c r="A97" s="20">
        <v>91</v>
      </c>
      <c r="B97" s="21" t="s">
        <v>468</v>
      </c>
      <c r="C97" s="21" t="s">
        <v>469</v>
      </c>
      <c r="D97" s="21" t="s">
        <v>470</v>
      </c>
      <c r="E97" s="22">
        <f t="shared" si="77"/>
        <v>168.21</v>
      </c>
      <c r="F97" s="23">
        <v>0</v>
      </c>
      <c r="G97" s="23">
        <v>0</v>
      </c>
      <c r="H97" s="37">
        <v>168.21</v>
      </c>
      <c r="I97" s="23">
        <v>0</v>
      </c>
      <c r="J97" s="23">
        <f t="shared" si="93"/>
        <v>168.056726</v>
      </c>
      <c r="K97" s="23">
        <v>0</v>
      </c>
      <c r="L97" s="27">
        <v>0</v>
      </c>
      <c r="M97" s="23">
        <f>83.99+84.066726</f>
        <v>168.056726</v>
      </c>
      <c r="N97" s="23">
        <v>0</v>
      </c>
      <c r="O97" s="23">
        <f t="shared" si="94"/>
        <v>0.15327400000001</v>
      </c>
      <c r="P97" s="23">
        <f t="shared" ref="P97:S97" si="106">F97-K97</f>
        <v>0</v>
      </c>
      <c r="Q97" s="23">
        <f t="shared" si="106"/>
        <v>0</v>
      </c>
      <c r="R97" s="23">
        <f t="shared" si="106"/>
        <v>0.15327400000001</v>
      </c>
      <c r="S97" s="23">
        <f t="shared" si="106"/>
        <v>0</v>
      </c>
      <c r="T97" s="24" t="s">
        <v>28</v>
      </c>
      <c r="U97" s="24" t="s">
        <v>91</v>
      </c>
      <c r="V97" s="20" t="s">
        <v>92</v>
      </c>
      <c r="W97" s="20" t="s">
        <v>93</v>
      </c>
      <c r="X97" s="20" t="s">
        <v>94</v>
      </c>
      <c r="Y97" s="20" t="s">
        <v>58</v>
      </c>
      <c r="Z97" s="43" t="s">
        <v>438</v>
      </c>
      <c r="AA97" s="24" t="s">
        <v>431</v>
      </c>
      <c r="AB97" s="20" t="s">
        <v>95</v>
      </c>
      <c r="AC97" s="20" t="s">
        <v>96</v>
      </c>
    </row>
    <row r="98" s="5" customFormat="1" ht="67.5" spans="1:29">
      <c r="A98" s="20">
        <v>92</v>
      </c>
      <c r="B98" s="21" t="s">
        <v>471</v>
      </c>
      <c r="C98" s="21" t="s">
        <v>440</v>
      </c>
      <c r="D98" s="21" t="s">
        <v>472</v>
      </c>
      <c r="E98" s="22">
        <f t="shared" si="77"/>
        <v>21.81</v>
      </c>
      <c r="F98" s="37">
        <v>0</v>
      </c>
      <c r="G98" s="37">
        <v>0</v>
      </c>
      <c r="H98" s="37">
        <v>21.81</v>
      </c>
      <c r="I98" s="37">
        <v>0</v>
      </c>
      <c r="J98" s="23">
        <f t="shared" si="93"/>
        <v>21.791555</v>
      </c>
      <c r="K98" s="37">
        <v>0</v>
      </c>
      <c r="L98" s="37">
        <v>0</v>
      </c>
      <c r="M98" s="37">
        <f>10.9+10.891555</f>
        <v>21.791555</v>
      </c>
      <c r="N98" s="37">
        <v>0</v>
      </c>
      <c r="O98" s="23">
        <f t="shared" si="94"/>
        <v>0.0184449999999963</v>
      </c>
      <c r="P98" s="23">
        <f t="shared" ref="P98:S98" si="107">F98-K98</f>
        <v>0</v>
      </c>
      <c r="Q98" s="23">
        <f t="shared" si="107"/>
        <v>0</v>
      </c>
      <c r="R98" s="23">
        <f t="shared" si="107"/>
        <v>0.0184449999999963</v>
      </c>
      <c r="S98" s="23">
        <f t="shared" si="107"/>
        <v>0</v>
      </c>
      <c r="T98" s="24" t="s">
        <v>90</v>
      </c>
      <c r="U98" s="24" t="s">
        <v>91</v>
      </c>
      <c r="V98" s="20" t="s">
        <v>92</v>
      </c>
      <c r="W98" s="20" t="s">
        <v>93</v>
      </c>
      <c r="X98" s="20" t="s">
        <v>94</v>
      </c>
      <c r="Y98" s="20" t="s">
        <v>58</v>
      </c>
      <c r="Z98" s="43" t="s">
        <v>438</v>
      </c>
      <c r="AA98" s="24" t="s">
        <v>431</v>
      </c>
      <c r="AB98" s="20" t="s">
        <v>95</v>
      </c>
      <c r="AC98" s="20" t="s">
        <v>96</v>
      </c>
    </row>
    <row r="99" s="5" customFormat="1" ht="67.5" spans="1:29">
      <c r="A99" s="20">
        <v>93</v>
      </c>
      <c r="B99" s="21" t="s">
        <v>473</v>
      </c>
      <c r="C99" s="21" t="s">
        <v>474</v>
      </c>
      <c r="D99" s="21" t="s">
        <v>475</v>
      </c>
      <c r="E99" s="22">
        <f t="shared" si="77"/>
        <v>29.13</v>
      </c>
      <c r="F99" s="23">
        <v>0</v>
      </c>
      <c r="G99" s="23">
        <v>0</v>
      </c>
      <c r="H99" s="37">
        <v>29.13</v>
      </c>
      <c r="I99" s="23">
        <v>0</v>
      </c>
      <c r="J99" s="23">
        <f t="shared" si="93"/>
        <v>29.118429</v>
      </c>
      <c r="K99" s="23">
        <v>0</v>
      </c>
      <c r="L99" s="27">
        <v>0</v>
      </c>
      <c r="M99" s="23">
        <f>14.5+14.618429</f>
        <v>29.118429</v>
      </c>
      <c r="N99" s="23">
        <v>0</v>
      </c>
      <c r="O99" s="23">
        <f t="shared" si="94"/>
        <v>0.011571</v>
      </c>
      <c r="P99" s="23">
        <f t="shared" ref="P99:S99" si="108">F99-K99</f>
        <v>0</v>
      </c>
      <c r="Q99" s="23">
        <f t="shared" si="108"/>
        <v>0</v>
      </c>
      <c r="R99" s="23">
        <f t="shared" si="108"/>
        <v>0.011571</v>
      </c>
      <c r="S99" s="23">
        <f t="shared" si="108"/>
        <v>0</v>
      </c>
      <c r="T99" s="24" t="s">
        <v>28</v>
      </c>
      <c r="U99" s="24" t="s">
        <v>91</v>
      </c>
      <c r="V99" s="20" t="s">
        <v>92</v>
      </c>
      <c r="W99" s="20" t="s">
        <v>93</v>
      </c>
      <c r="X99" s="20" t="s">
        <v>94</v>
      </c>
      <c r="Y99" s="20" t="s">
        <v>58</v>
      </c>
      <c r="Z99" s="43" t="s">
        <v>438</v>
      </c>
      <c r="AA99" s="24" t="s">
        <v>431</v>
      </c>
      <c r="AB99" s="20" t="s">
        <v>95</v>
      </c>
      <c r="AC99" s="20" t="s">
        <v>96</v>
      </c>
    </row>
    <row r="100" s="5" customFormat="1" ht="67.5" spans="1:29">
      <c r="A100" s="20">
        <v>94</v>
      </c>
      <c r="B100" s="21" t="s">
        <v>476</v>
      </c>
      <c r="C100" s="21" t="s">
        <v>477</v>
      </c>
      <c r="D100" s="21" t="s">
        <v>478</v>
      </c>
      <c r="E100" s="22">
        <f t="shared" si="77"/>
        <v>36.53</v>
      </c>
      <c r="F100" s="37">
        <v>0</v>
      </c>
      <c r="G100" s="37">
        <v>0</v>
      </c>
      <c r="H100" s="37">
        <v>36.53</v>
      </c>
      <c r="I100" s="37">
        <v>0</v>
      </c>
      <c r="J100" s="23">
        <f t="shared" si="93"/>
        <v>36.510081</v>
      </c>
      <c r="K100" s="37">
        <v>0</v>
      </c>
      <c r="L100" s="37">
        <v>0</v>
      </c>
      <c r="M100" s="37">
        <f>18.2+18.310081</f>
        <v>36.510081</v>
      </c>
      <c r="N100" s="37">
        <v>0</v>
      </c>
      <c r="O100" s="23">
        <f t="shared" si="94"/>
        <v>0.0199190000000016</v>
      </c>
      <c r="P100" s="23">
        <f t="shared" ref="P100:S100" si="109">F100-K100</f>
        <v>0</v>
      </c>
      <c r="Q100" s="23">
        <f t="shared" si="109"/>
        <v>0</v>
      </c>
      <c r="R100" s="23">
        <f t="shared" si="109"/>
        <v>0.0199190000000016</v>
      </c>
      <c r="S100" s="23">
        <f t="shared" si="109"/>
        <v>0</v>
      </c>
      <c r="T100" s="24" t="s">
        <v>28</v>
      </c>
      <c r="U100" s="24" t="s">
        <v>91</v>
      </c>
      <c r="V100" s="20" t="s">
        <v>92</v>
      </c>
      <c r="W100" s="20" t="s">
        <v>93</v>
      </c>
      <c r="X100" s="20" t="s">
        <v>94</v>
      </c>
      <c r="Y100" s="20" t="s">
        <v>58</v>
      </c>
      <c r="Z100" s="43" t="s">
        <v>438</v>
      </c>
      <c r="AA100" s="24" t="s">
        <v>431</v>
      </c>
      <c r="AB100" s="20" t="s">
        <v>95</v>
      </c>
      <c r="AC100" s="20" t="s">
        <v>96</v>
      </c>
    </row>
    <row r="101" s="5" customFormat="1" ht="67.5" spans="1:29">
      <c r="A101" s="20">
        <v>95</v>
      </c>
      <c r="B101" s="21" t="s">
        <v>479</v>
      </c>
      <c r="C101" s="21" t="s">
        <v>480</v>
      </c>
      <c r="D101" s="21" t="s">
        <v>481</v>
      </c>
      <c r="E101" s="22">
        <f t="shared" si="77"/>
        <v>98.65</v>
      </c>
      <c r="F101" s="23">
        <v>0</v>
      </c>
      <c r="G101" s="23">
        <v>0</v>
      </c>
      <c r="H101" s="37">
        <v>98.65</v>
      </c>
      <c r="I101" s="23">
        <v>0</v>
      </c>
      <c r="J101" s="23">
        <f t="shared" si="93"/>
        <v>98.65</v>
      </c>
      <c r="K101" s="23">
        <v>0</v>
      </c>
      <c r="L101" s="27">
        <v>0</v>
      </c>
      <c r="M101" s="23">
        <f>49.300438+49.349562</f>
        <v>98.65</v>
      </c>
      <c r="N101" s="23">
        <v>0</v>
      </c>
      <c r="O101" s="23">
        <f t="shared" si="94"/>
        <v>0</v>
      </c>
      <c r="P101" s="23">
        <f t="shared" ref="P101:S101" si="110">F101-K101</f>
        <v>0</v>
      </c>
      <c r="Q101" s="23">
        <f t="shared" si="110"/>
        <v>0</v>
      </c>
      <c r="R101" s="23">
        <f t="shared" si="110"/>
        <v>0</v>
      </c>
      <c r="S101" s="23">
        <f t="shared" si="110"/>
        <v>0</v>
      </c>
      <c r="T101" s="24" t="s">
        <v>28</v>
      </c>
      <c r="U101" s="24" t="s">
        <v>91</v>
      </c>
      <c r="V101" s="20" t="s">
        <v>92</v>
      </c>
      <c r="W101" s="20" t="s">
        <v>93</v>
      </c>
      <c r="X101" s="20" t="s">
        <v>94</v>
      </c>
      <c r="Y101" s="20" t="s">
        <v>58</v>
      </c>
      <c r="Z101" s="43" t="s">
        <v>438</v>
      </c>
      <c r="AA101" s="24" t="s">
        <v>431</v>
      </c>
      <c r="AB101" s="20" t="s">
        <v>95</v>
      </c>
      <c r="AC101" s="20" t="s">
        <v>96</v>
      </c>
    </row>
    <row r="102" s="5" customFormat="1" ht="81" spans="1:29">
      <c r="A102" s="20">
        <v>96</v>
      </c>
      <c r="B102" s="21" t="s">
        <v>482</v>
      </c>
      <c r="C102" s="21" t="s">
        <v>261</v>
      </c>
      <c r="D102" s="20" t="s">
        <v>483</v>
      </c>
      <c r="E102" s="22">
        <f t="shared" si="77"/>
        <v>63.58</v>
      </c>
      <c r="F102" s="37">
        <v>0</v>
      </c>
      <c r="G102" s="37">
        <v>0</v>
      </c>
      <c r="H102" s="37">
        <v>63.58</v>
      </c>
      <c r="I102" s="37">
        <v>0</v>
      </c>
      <c r="J102" s="23">
        <f t="shared" si="93"/>
        <v>60.5986</v>
      </c>
      <c r="K102" s="37">
        <v>0</v>
      </c>
      <c r="L102" s="37">
        <v>0</v>
      </c>
      <c r="M102" s="37">
        <v>60.5986</v>
      </c>
      <c r="N102" s="37">
        <v>0</v>
      </c>
      <c r="O102" s="23">
        <f t="shared" si="94"/>
        <v>2.9814</v>
      </c>
      <c r="P102" s="23">
        <f t="shared" ref="P102:S102" si="111">F102-K102</f>
        <v>0</v>
      </c>
      <c r="Q102" s="23">
        <f t="shared" si="111"/>
        <v>0</v>
      </c>
      <c r="R102" s="23">
        <f t="shared" si="111"/>
        <v>2.9814</v>
      </c>
      <c r="S102" s="23">
        <f t="shared" si="111"/>
        <v>0</v>
      </c>
      <c r="T102" s="24" t="s">
        <v>28</v>
      </c>
      <c r="U102" s="24" t="s">
        <v>308</v>
      </c>
      <c r="V102" s="24" t="s">
        <v>309</v>
      </c>
      <c r="W102" s="24" t="s">
        <v>484</v>
      </c>
      <c r="X102" s="24" t="s">
        <v>485</v>
      </c>
      <c r="Y102" s="20" t="s">
        <v>58</v>
      </c>
      <c r="Z102" s="43" t="s">
        <v>438</v>
      </c>
      <c r="AA102" s="24" t="s">
        <v>431</v>
      </c>
      <c r="AB102" s="24" t="s">
        <v>312</v>
      </c>
      <c r="AC102" s="24" t="s">
        <v>313</v>
      </c>
    </row>
    <row r="103" s="5" customFormat="1" ht="81" spans="1:29">
      <c r="A103" s="20">
        <v>97</v>
      </c>
      <c r="B103" s="21" t="s">
        <v>486</v>
      </c>
      <c r="C103" s="21" t="s">
        <v>487</v>
      </c>
      <c r="D103" s="20" t="s">
        <v>488</v>
      </c>
      <c r="E103" s="40">
        <f t="shared" ref="E103:E135" si="112">F103+G103+H103+I103</f>
        <v>66.6</v>
      </c>
      <c r="F103" s="23">
        <v>0</v>
      </c>
      <c r="G103" s="23">
        <v>0</v>
      </c>
      <c r="H103" s="37">
        <v>66.6</v>
      </c>
      <c r="I103" s="23">
        <v>0</v>
      </c>
      <c r="J103" s="23">
        <f t="shared" si="93"/>
        <v>66.9</v>
      </c>
      <c r="K103" s="23">
        <v>0</v>
      </c>
      <c r="L103" s="27">
        <v>0</v>
      </c>
      <c r="M103" s="23">
        <v>66.9</v>
      </c>
      <c r="N103" s="23">
        <v>0</v>
      </c>
      <c r="O103" s="23">
        <f t="shared" si="94"/>
        <v>-0.300000000000011</v>
      </c>
      <c r="P103" s="23">
        <f t="shared" ref="P103:S103" si="113">F103-K103</f>
        <v>0</v>
      </c>
      <c r="Q103" s="23">
        <f t="shared" si="113"/>
        <v>0</v>
      </c>
      <c r="R103" s="23">
        <f t="shared" si="113"/>
        <v>-0.300000000000011</v>
      </c>
      <c r="S103" s="23">
        <f t="shared" si="113"/>
        <v>0</v>
      </c>
      <c r="T103" s="24" t="s">
        <v>28</v>
      </c>
      <c r="U103" s="24" t="s">
        <v>308</v>
      </c>
      <c r="V103" s="24" t="s">
        <v>309</v>
      </c>
      <c r="W103" s="24" t="s">
        <v>310</v>
      </c>
      <c r="X103" s="24" t="s">
        <v>489</v>
      </c>
      <c r="Y103" s="20" t="s">
        <v>58</v>
      </c>
      <c r="Z103" s="43" t="s">
        <v>438</v>
      </c>
      <c r="AA103" s="24" t="s">
        <v>431</v>
      </c>
      <c r="AB103" s="24" t="s">
        <v>312</v>
      </c>
      <c r="AC103" s="24" t="s">
        <v>313</v>
      </c>
    </row>
    <row r="104" s="5" customFormat="1" ht="81" spans="1:29">
      <c r="A104" s="20">
        <v>98</v>
      </c>
      <c r="B104" s="21" t="s">
        <v>490</v>
      </c>
      <c r="C104" s="21" t="s">
        <v>167</v>
      </c>
      <c r="D104" s="20" t="s">
        <v>491</v>
      </c>
      <c r="E104" s="22">
        <f t="shared" si="112"/>
        <v>53.76</v>
      </c>
      <c r="F104" s="37">
        <v>53.76</v>
      </c>
      <c r="G104" s="37">
        <v>0</v>
      </c>
      <c r="H104" s="37">
        <v>0</v>
      </c>
      <c r="I104" s="23">
        <v>0</v>
      </c>
      <c r="J104" s="23">
        <f t="shared" ref="J104:J127" si="114">K104+L104+M104+N104</f>
        <v>46.1613</v>
      </c>
      <c r="K104" s="23">
        <v>46.1613</v>
      </c>
      <c r="L104" s="27">
        <v>0</v>
      </c>
      <c r="M104" s="23">
        <v>0</v>
      </c>
      <c r="N104" s="23">
        <v>0</v>
      </c>
      <c r="O104" s="23">
        <f t="shared" ref="O104:O127" si="115">P104+Q104+R104+S104</f>
        <v>7.5987</v>
      </c>
      <c r="P104" s="23">
        <f t="shared" ref="P104:S104" si="116">F104-K104</f>
        <v>7.5987</v>
      </c>
      <c r="Q104" s="23">
        <f t="shared" si="116"/>
        <v>0</v>
      </c>
      <c r="R104" s="23">
        <f t="shared" si="116"/>
        <v>0</v>
      </c>
      <c r="S104" s="23">
        <f t="shared" si="116"/>
        <v>0</v>
      </c>
      <c r="T104" s="24" t="s">
        <v>28</v>
      </c>
      <c r="U104" s="24" t="s">
        <v>308</v>
      </c>
      <c r="V104" s="24" t="s">
        <v>309</v>
      </c>
      <c r="W104" s="24" t="s">
        <v>484</v>
      </c>
      <c r="X104" s="24" t="s">
        <v>316</v>
      </c>
      <c r="Y104" s="20" t="s">
        <v>58</v>
      </c>
      <c r="Z104" s="43" t="s">
        <v>492</v>
      </c>
      <c r="AA104" s="24" t="s">
        <v>493</v>
      </c>
      <c r="AB104" s="24" t="s">
        <v>312</v>
      </c>
      <c r="AC104" s="24" t="s">
        <v>313</v>
      </c>
    </row>
    <row r="105" s="5" customFormat="1" ht="81" spans="1:29">
      <c r="A105" s="20">
        <v>99</v>
      </c>
      <c r="B105" s="21" t="s">
        <v>494</v>
      </c>
      <c r="C105" s="21" t="s">
        <v>495</v>
      </c>
      <c r="D105" s="20" t="s">
        <v>496</v>
      </c>
      <c r="E105" s="22">
        <f t="shared" si="112"/>
        <v>82.46</v>
      </c>
      <c r="F105" s="37">
        <v>64.24</v>
      </c>
      <c r="G105" s="37">
        <v>18.22</v>
      </c>
      <c r="H105" s="37">
        <v>0</v>
      </c>
      <c r="I105" s="37">
        <v>0</v>
      </c>
      <c r="J105" s="23">
        <f t="shared" si="114"/>
        <v>79.1697</v>
      </c>
      <c r="K105" s="37">
        <v>64.24</v>
      </c>
      <c r="L105" s="37">
        <v>14.9297</v>
      </c>
      <c r="M105" s="37">
        <v>0</v>
      </c>
      <c r="N105" s="37">
        <v>0</v>
      </c>
      <c r="O105" s="23">
        <f t="shared" si="115"/>
        <v>3.2903</v>
      </c>
      <c r="P105" s="23">
        <f t="shared" ref="P105:S105" si="117">F105-K105</f>
        <v>0</v>
      </c>
      <c r="Q105" s="23">
        <f t="shared" si="117"/>
        <v>3.2903</v>
      </c>
      <c r="R105" s="23">
        <f t="shared" si="117"/>
        <v>0</v>
      </c>
      <c r="S105" s="23">
        <f t="shared" si="117"/>
        <v>0</v>
      </c>
      <c r="T105" s="24" t="s">
        <v>28</v>
      </c>
      <c r="U105" s="24" t="s">
        <v>308</v>
      </c>
      <c r="V105" s="24" t="s">
        <v>309</v>
      </c>
      <c r="W105" s="24" t="s">
        <v>484</v>
      </c>
      <c r="X105" s="24" t="s">
        <v>311</v>
      </c>
      <c r="Y105" s="20" t="s">
        <v>58</v>
      </c>
      <c r="Z105" s="43" t="s">
        <v>492</v>
      </c>
      <c r="AA105" s="24" t="s">
        <v>493</v>
      </c>
      <c r="AB105" s="24" t="s">
        <v>312</v>
      </c>
      <c r="AC105" s="24" t="s">
        <v>313</v>
      </c>
    </row>
    <row r="106" s="5" customFormat="1" ht="67.5" spans="1:29">
      <c r="A106" s="20">
        <v>100</v>
      </c>
      <c r="B106" s="21" t="s">
        <v>497</v>
      </c>
      <c r="C106" s="21" t="s">
        <v>498</v>
      </c>
      <c r="D106" s="21" t="s">
        <v>499</v>
      </c>
      <c r="E106" s="22">
        <f t="shared" si="112"/>
        <v>50</v>
      </c>
      <c r="F106" s="41">
        <v>50</v>
      </c>
      <c r="G106" s="22">
        <v>0</v>
      </c>
      <c r="H106" s="22">
        <v>0</v>
      </c>
      <c r="I106" s="22">
        <v>0</v>
      </c>
      <c r="J106" s="22">
        <f t="shared" si="114"/>
        <v>34.4511</v>
      </c>
      <c r="K106" s="22">
        <f>25+9.4511</f>
        <v>34.4511</v>
      </c>
      <c r="L106" s="22">
        <v>0</v>
      </c>
      <c r="M106" s="22">
        <v>0</v>
      </c>
      <c r="N106" s="22">
        <v>0</v>
      </c>
      <c r="O106" s="22">
        <f t="shared" si="115"/>
        <v>15.5489</v>
      </c>
      <c r="P106" s="22">
        <f t="shared" ref="P106:S106" si="118">F106-K106</f>
        <v>15.5489</v>
      </c>
      <c r="Q106" s="22">
        <f t="shared" si="118"/>
        <v>0</v>
      </c>
      <c r="R106" s="22">
        <f t="shared" si="118"/>
        <v>0</v>
      </c>
      <c r="S106" s="22">
        <f t="shared" si="118"/>
        <v>0</v>
      </c>
      <c r="T106" s="24" t="s">
        <v>28</v>
      </c>
      <c r="U106" s="24" t="s">
        <v>54</v>
      </c>
      <c r="V106" s="20" t="s">
        <v>55</v>
      </c>
      <c r="W106" s="20" t="s">
        <v>500</v>
      </c>
      <c r="X106" s="20" t="s">
        <v>501</v>
      </c>
      <c r="Y106" s="20" t="s">
        <v>502</v>
      </c>
      <c r="Z106" s="43" t="s">
        <v>492</v>
      </c>
      <c r="AA106" s="24" t="s">
        <v>493</v>
      </c>
      <c r="AB106" s="20" t="s">
        <v>66</v>
      </c>
      <c r="AC106" s="20" t="s">
        <v>67</v>
      </c>
    </row>
    <row r="107" s="5" customFormat="1" ht="67.5" spans="1:29">
      <c r="A107" s="20">
        <v>101</v>
      </c>
      <c r="B107" s="21" t="s">
        <v>503</v>
      </c>
      <c r="C107" s="21" t="s">
        <v>504</v>
      </c>
      <c r="D107" s="21" t="s">
        <v>505</v>
      </c>
      <c r="E107" s="22">
        <f t="shared" si="112"/>
        <v>50</v>
      </c>
      <c r="F107" s="37">
        <v>50</v>
      </c>
      <c r="G107" s="23">
        <v>0</v>
      </c>
      <c r="H107" s="23">
        <v>0</v>
      </c>
      <c r="I107" s="23">
        <v>0</v>
      </c>
      <c r="J107" s="23">
        <f t="shared" si="114"/>
        <v>42.97</v>
      </c>
      <c r="K107" s="23">
        <f>21.4+21.57</f>
        <v>42.97</v>
      </c>
      <c r="L107" s="23">
        <v>0</v>
      </c>
      <c r="M107" s="23">
        <v>0</v>
      </c>
      <c r="N107" s="23">
        <v>0</v>
      </c>
      <c r="O107" s="23">
        <f t="shared" si="115"/>
        <v>7.03</v>
      </c>
      <c r="P107" s="23">
        <f t="shared" ref="P107:S107" si="119">F107-K107</f>
        <v>7.03</v>
      </c>
      <c r="Q107" s="23">
        <f t="shared" si="119"/>
        <v>0</v>
      </c>
      <c r="R107" s="23">
        <f t="shared" si="119"/>
        <v>0</v>
      </c>
      <c r="S107" s="23">
        <f t="shared" si="119"/>
        <v>0</v>
      </c>
      <c r="T107" s="24" t="s">
        <v>28</v>
      </c>
      <c r="U107" s="24" t="s">
        <v>54</v>
      </c>
      <c r="V107" s="20" t="s">
        <v>55</v>
      </c>
      <c r="W107" s="20" t="s">
        <v>500</v>
      </c>
      <c r="X107" s="20" t="s">
        <v>506</v>
      </c>
      <c r="Y107" s="20" t="s">
        <v>502</v>
      </c>
      <c r="Z107" s="43" t="s">
        <v>492</v>
      </c>
      <c r="AA107" s="24" t="s">
        <v>493</v>
      </c>
      <c r="AB107" s="20" t="s">
        <v>66</v>
      </c>
      <c r="AC107" s="20" t="s">
        <v>67</v>
      </c>
    </row>
    <row r="108" s="5" customFormat="1" ht="67.5" spans="1:29">
      <c r="A108" s="20">
        <v>102</v>
      </c>
      <c r="B108" s="21" t="s">
        <v>507</v>
      </c>
      <c r="C108" s="21" t="s">
        <v>508</v>
      </c>
      <c r="D108" s="21" t="s">
        <v>509</v>
      </c>
      <c r="E108" s="22">
        <f t="shared" si="112"/>
        <v>50</v>
      </c>
      <c r="F108" s="37">
        <v>50</v>
      </c>
      <c r="G108" s="23">
        <v>0</v>
      </c>
      <c r="H108" s="23">
        <v>0</v>
      </c>
      <c r="I108" s="23">
        <v>0</v>
      </c>
      <c r="J108" s="23">
        <f t="shared" si="114"/>
        <v>46.9</v>
      </c>
      <c r="K108" s="23">
        <f>23.45+23.45</f>
        <v>46.9</v>
      </c>
      <c r="L108" s="23">
        <v>0</v>
      </c>
      <c r="M108" s="23">
        <v>0</v>
      </c>
      <c r="N108" s="23">
        <v>0</v>
      </c>
      <c r="O108" s="23">
        <f t="shared" si="115"/>
        <v>3.1</v>
      </c>
      <c r="P108" s="23">
        <f t="shared" ref="P108:S108" si="120">F108-K108</f>
        <v>3.1</v>
      </c>
      <c r="Q108" s="23">
        <f t="shared" si="120"/>
        <v>0</v>
      </c>
      <c r="R108" s="23">
        <f t="shared" si="120"/>
        <v>0</v>
      </c>
      <c r="S108" s="23">
        <f t="shared" si="120"/>
        <v>0</v>
      </c>
      <c r="T108" s="24" t="s">
        <v>28</v>
      </c>
      <c r="U108" s="24" t="s">
        <v>54</v>
      </c>
      <c r="V108" s="20" t="s">
        <v>55</v>
      </c>
      <c r="W108" s="20" t="s">
        <v>510</v>
      </c>
      <c r="X108" s="20" t="s">
        <v>511</v>
      </c>
      <c r="Y108" s="20" t="s">
        <v>502</v>
      </c>
      <c r="Z108" s="43" t="s">
        <v>492</v>
      </c>
      <c r="AA108" s="24" t="s">
        <v>493</v>
      </c>
      <c r="AB108" s="20" t="s">
        <v>66</v>
      </c>
      <c r="AC108" s="20" t="s">
        <v>67</v>
      </c>
    </row>
    <row r="109" s="5" customFormat="1" ht="73" customHeight="1" spans="1:29">
      <c r="A109" s="20">
        <v>103</v>
      </c>
      <c r="B109" s="21" t="s">
        <v>512</v>
      </c>
      <c r="C109" s="21" t="s">
        <v>513</v>
      </c>
      <c r="D109" s="21" t="s">
        <v>514</v>
      </c>
      <c r="E109" s="22">
        <f t="shared" si="112"/>
        <v>50</v>
      </c>
      <c r="F109" s="37">
        <v>50</v>
      </c>
      <c r="G109" s="23">
        <v>0</v>
      </c>
      <c r="H109" s="23">
        <v>0</v>
      </c>
      <c r="I109" s="23">
        <v>0</v>
      </c>
      <c r="J109" s="23">
        <f t="shared" si="114"/>
        <v>46.6</v>
      </c>
      <c r="K109" s="23">
        <f>22.8+23.8</f>
        <v>46.6</v>
      </c>
      <c r="L109" s="23">
        <v>0</v>
      </c>
      <c r="M109" s="23">
        <v>0</v>
      </c>
      <c r="N109" s="23">
        <v>0</v>
      </c>
      <c r="O109" s="23">
        <f t="shared" si="115"/>
        <v>3.4</v>
      </c>
      <c r="P109" s="23">
        <f t="shared" ref="P109:S109" si="121">F109-K109</f>
        <v>3.4</v>
      </c>
      <c r="Q109" s="23">
        <f t="shared" si="121"/>
        <v>0</v>
      </c>
      <c r="R109" s="23">
        <f t="shared" si="121"/>
        <v>0</v>
      </c>
      <c r="S109" s="23">
        <f t="shared" si="121"/>
        <v>0</v>
      </c>
      <c r="T109" s="24" t="s">
        <v>28</v>
      </c>
      <c r="U109" s="24" t="s">
        <v>54</v>
      </c>
      <c r="V109" s="20" t="s">
        <v>55</v>
      </c>
      <c r="W109" s="20" t="s">
        <v>510</v>
      </c>
      <c r="X109" s="20" t="s">
        <v>511</v>
      </c>
      <c r="Y109" s="20" t="s">
        <v>502</v>
      </c>
      <c r="Z109" s="43" t="s">
        <v>492</v>
      </c>
      <c r="AA109" s="24" t="s">
        <v>493</v>
      </c>
      <c r="AB109" s="20" t="s">
        <v>66</v>
      </c>
      <c r="AC109" s="20" t="s">
        <v>67</v>
      </c>
    </row>
    <row r="110" s="5" customFormat="1" ht="67.5" spans="1:29">
      <c r="A110" s="20">
        <v>104</v>
      </c>
      <c r="B110" s="21" t="s">
        <v>515</v>
      </c>
      <c r="C110" s="21" t="s">
        <v>516</v>
      </c>
      <c r="D110" s="21" t="s">
        <v>517</v>
      </c>
      <c r="E110" s="22">
        <f t="shared" si="112"/>
        <v>50</v>
      </c>
      <c r="F110" s="41">
        <v>50</v>
      </c>
      <c r="G110" s="22">
        <v>0</v>
      </c>
      <c r="H110" s="22">
        <v>0</v>
      </c>
      <c r="I110" s="22">
        <v>0</v>
      </c>
      <c r="J110" s="22">
        <f t="shared" si="114"/>
        <v>50</v>
      </c>
      <c r="K110" s="22">
        <f>25+25</f>
        <v>50</v>
      </c>
      <c r="L110" s="22">
        <v>0</v>
      </c>
      <c r="M110" s="22">
        <v>0</v>
      </c>
      <c r="N110" s="22">
        <v>0</v>
      </c>
      <c r="O110" s="22">
        <f t="shared" si="115"/>
        <v>0</v>
      </c>
      <c r="P110" s="22">
        <f t="shared" ref="P110:S110" si="122">F110-K110</f>
        <v>0</v>
      </c>
      <c r="Q110" s="22">
        <f t="shared" si="122"/>
        <v>0</v>
      </c>
      <c r="R110" s="22">
        <f t="shared" si="122"/>
        <v>0</v>
      </c>
      <c r="S110" s="22">
        <f t="shared" si="122"/>
        <v>0</v>
      </c>
      <c r="T110" s="24" t="s">
        <v>28</v>
      </c>
      <c r="U110" s="24" t="s">
        <v>54</v>
      </c>
      <c r="V110" s="20" t="s">
        <v>55</v>
      </c>
      <c r="W110" s="20" t="s">
        <v>518</v>
      </c>
      <c r="X110" s="20" t="s">
        <v>519</v>
      </c>
      <c r="Y110" s="20" t="s">
        <v>502</v>
      </c>
      <c r="Z110" s="43" t="s">
        <v>492</v>
      </c>
      <c r="AA110" s="24" t="s">
        <v>493</v>
      </c>
      <c r="AB110" s="20" t="s">
        <v>66</v>
      </c>
      <c r="AC110" s="20" t="s">
        <v>67</v>
      </c>
    </row>
    <row r="111" s="5" customFormat="1" ht="67.5" spans="1:29">
      <c r="A111" s="20">
        <v>105</v>
      </c>
      <c r="B111" s="21" t="s">
        <v>520</v>
      </c>
      <c r="C111" s="21" t="s">
        <v>521</v>
      </c>
      <c r="D111" s="21" t="s">
        <v>522</v>
      </c>
      <c r="E111" s="22">
        <f t="shared" si="112"/>
        <v>50</v>
      </c>
      <c r="F111" s="37">
        <v>50</v>
      </c>
      <c r="G111" s="23">
        <v>0</v>
      </c>
      <c r="H111" s="23">
        <v>0</v>
      </c>
      <c r="I111" s="23">
        <v>0</v>
      </c>
      <c r="J111" s="23">
        <f t="shared" si="114"/>
        <v>50</v>
      </c>
      <c r="K111" s="23">
        <f>25+25</f>
        <v>50</v>
      </c>
      <c r="L111" s="23">
        <v>0</v>
      </c>
      <c r="M111" s="23">
        <v>0</v>
      </c>
      <c r="N111" s="23">
        <v>0</v>
      </c>
      <c r="O111" s="23">
        <f t="shared" si="115"/>
        <v>0</v>
      </c>
      <c r="P111" s="23">
        <f t="shared" ref="P111:S111" si="123">F111-K111</f>
        <v>0</v>
      </c>
      <c r="Q111" s="23">
        <f t="shared" si="123"/>
        <v>0</v>
      </c>
      <c r="R111" s="23">
        <f t="shared" si="123"/>
        <v>0</v>
      </c>
      <c r="S111" s="23">
        <f t="shared" si="123"/>
        <v>0</v>
      </c>
      <c r="T111" s="24" t="s">
        <v>28</v>
      </c>
      <c r="U111" s="24" t="s">
        <v>54</v>
      </c>
      <c r="V111" s="20" t="s">
        <v>55</v>
      </c>
      <c r="W111" s="20" t="s">
        <v>518</v>
      </c>
      <c r="X111" s="20" t="s">
        <v>523</v>
      </c>
      <c r="Y111" s="20" t="s">
        <v>502</v>
      </c>
      <c r="Z111" s="43" t="s">
        <v>492</v>
      </c>
      <c r="AA111" s="24" t="s">
        <v>493</v>
      </c>
      <c r="AB111" s="20" t="s">
        <v>66</v>
      </c>
      <c r="AC111" s="20" t="s">
        <v>67</v>
      </c>
    </row>
    <row r="112" s="5" customFormat="1" ht="67.5" spans="1:29">
      <c r="A112" s="20">
        <v>106</v>
      </c>
      <c r="B112" s="21" t="s">
        <v>524</v>
      </c>
      <c r="C112" s="21" t="s">
        <v>525</v>
      </c>
      <c r="D112" s="21" t="s">
        <v>526</v>
      </c>
      <c r="E112" s="22">
        <f t="shared" si="112"/>
        <v>50</v>
      </c>
      <c r="F112" s="37">
        <v>50</v>
      </c>
      <c r="G112" s="23">
        <v>0</v>
      </c>
      <c r="H112" s="23">
        <v>0</v>
      </c>
      <c r="I112" s="23">
        <v>0</v>
      </c>
      <c r="J112" s="23">
        <f t="shared" si="114"/>
        <v>49.97</v>
      </c>
      <c r="K112" s="23">
        <f>24.5+25.47</f>
        <v>49.97</v>
      </c>
      <c r="L112" s="23">
        <v>0</v>
      </c>
      <c r="M112" s="23">
        <v>0</v>
      </c>
      <c r="N112" s="23">
        <v>0</v>
      </c>
      <c r="O112" s="23">
        <f t="shared" si="115"/>
        <v>0.0300000000000011</v>
      </c>
      <c r="P112" s="23">
        <f t="shared" ref="P112:S112" si="124">F112-K112</f>
        <v>0.0300000000000011</v>
      </c>
      <c r="Q112" s="23">
        <f t="shared" si="124"/>
        <v>0</v>
      </c>
      <c r="R112" s="23">
        <f t="shared" si="124"/>
        <v>0</v>
      </c>
      <c r="S112" s="23">
        <f t="shared" si="124"/>
        <v>0</v>
      </c>
      <c r="T112" s="24" t="s">
        <v>28</v>
      </c>
      <c r="U112" s="24" t="s">
        <v>54</v>
      </c>
      <c r="V112" s="20" t="s">
        <v>55</v>
      </c>
      <c r="W112" s="20" t="s">
        <v>500</v>
      </c>
      <c r="X112" s="20" t="s">
        <v>527</v>
      </c>
      <c r="Y112" s="20" t="s">
        <v>502</v>
      </c>
      <c r="Z112" s="43" t="s">
        <v>492</v>
      </c>
      <c r="AA112" s="24" t="s">
        <v>493</v>
      </c>
      <c r="AB112" s="20" t="s">
        <v>66</v>
      </c>
      <c r="AC112" s="20" t="s">
        <v>67</v>
      </c>
    </row>
    <row r="113" s="5" customFormat="1" ht="67.5" spans="1:29">
      <c r="A113" s="20">
        <v>107</v>
      </c>
      <c r="B113" s="21" t="s">
        <v>528</v>
      </c>
      <c r="C113" s="21" t="s">
        <v>529</v>
      </c>
      <c r="D113" s="21" t="s">
        <v>530</v>
      </c>
      <c r="E113" s="22">
        <f t="shared" si="112"/>
        <v>50</v>
      </c>
      <c r="F113" s="37">
        <v>50</v>
      </c>
      <c r="G113" s="23">
        <v>0</v>
      </c>
      <c r="H113" s="23">
        <v>0</v>
      </c>
      <c r="I113" s="23">
        <v>0</v>
      </c>
      <c r="J113" s="23">
        <f t="shared" si="114"/>
        <v>45.1</v>
      </c>
      <c r="K113" s="23">
        <f>19.1+26</f>
        <v>45.1</v>
      </c>
      <c r="L113" s="23">
        <v>0</v>
      </c>
      <c r="M113" s="23">
        <v>0</v>
      </c>
      <c r="N113" s="23">
        <v>0</v>
      </c>
      <c r="O113" s="23">
        <f t="shared" si="115"/>
        <v>4.9</v>
      </c>
      <c r="P113" s="23">
        <f t="shared" ref="P113:S113" si="125">F113-K113</f>
        <v>4.9</v>
      </c>
      <c r="Q113" s="23">
        <f t="shared" si="125"/>
        <v>0</v>
      </c>
      <c r="R113" s="23">
        <f t="shared" si="125"/>
        <v>0</v>
      </c>
      <c r="S113" s="23">
        <f t="shared" si="125"/>
        <v>0</v>
      </c>
      <c r="T113" s="24" t="s">
        <v>28</v>
      </c>
      <c r="U113" s="24" t="s">
        <v>54</v>
      </c>
      <c r="V113" s="20" t="s">
        <v>55</v>
      </c>
      <c r="W113" s="20" t="s">
        <v>518</v>
      </c>
      <c r="X113" s="20" t="s">
        <v>511</v>
      </c>
      <c r="Y113" s="20" t="s">
        <v>502</v>
      </c>
      <c r="Z113" s="43" t="s">
        <v>492</v>
      </c>
      <c r="AA113" s="24" t="s">
        <v>493</v>
      </c>
      <c r="AB113" s="20" t="s">
        <v>66</v>
      </c>
      <c r="AC113" s="20" t="s">
        <v>67</v>
      </c>
    </row>
    <row r="114" s="5" customFormat="1" ht="67.5" spans="1:29">
      <c r="A114" s="20">
        <v>108</v>
      </c>
      <c r="B114" s="21" t="s">
        <v>531</v>
      </c>
      <c r="C114" s="21" t="s">
        <v>532</v>
      </c>
      <c r="D114" s="21" t="s">
        <v>533</v>
      </c>
      <c r="E114" s="22">
        <f t="shared" si="112"/>
        <v>50</v>
      </c>
      <c r="F114" s="37">
        <v>50</v>
      </c>
      <c r="G114" s="23">
        <v>0</v>
      </c>
      <c r="H114" s="23">
        <v>0</v>
      </c>
      <c r="I114" s="23">
        <v>0</v>
      </c>
      <c r="J114" s="23">
        <f t="shared" si="114"/>
        <v>49.404</v>
      </c>
      <c r="K114" s="23">
        <f>24.5+24.904</f>
        <v>49.404</v>
      </c>
      <c r="L114" s="23">
        <v>0</v>
      </c>
      <c r="M114" s="23">
        <v>0</v>
      </c>
      <c r="N114" s="23">
        <v>0</v>
      </c>
      <c r="O114" s="23">
        <f t="shared" si="115"/>
        <v>0.596000000000004</v>
      </c>
      <c r="P114" s="23">
        <f t="shared" ref="P114:S114" si="126">F114-K114</f>
        <v>0.596000000000004</v>
      </c>
      <c r="Q114" s="23">
        <f t="shared" si="126"/>
        <v>0</v>
      </c>
      <c r="R114" s="23">
        <f t="shared" si="126"/>
        <v>0</v>
      </c>
      <c r="S114" s="23">
        <f t="shared" si="126"/>
        <v>0</v>
      </c>
      <c r="T114" s="24" t="s">
        <v>28</v>
      </c>
      <c r="U114" s="24" t="s">
        <v>54</v>
      </c>
      <c r="V114" s="20" t="s">
        <v>55</v>
      </c>
      <c r="W114" s="20" t="s">
        <v>518</v>
      </c>
      <c r="X114" s="20" t="s">
        <v>534</v>
      </c>
      <c r="Y114" s="20" t="s">
        <v>502</v>
      </c>
      <c r="Z114" s="43" t="s">
        <v>492</v>
      </c>
      <c r="AA114" s="24" t="s">
        <v>493</v>
      </c>
      <c r="AB114" s="20" t="s">
        <v>66</v>
      </c>
      <c r="AC114" s="20" t="s">
        <v>67</v>
      </c>
    </row>
    <row r="115" s="5" customFormat="1" ht="67.5" spans="1:29">
      <c r="A115" s="20">
        <v>109</v>
      </c>
      <c r="B115" s="21" t="s">
        <v>535</v>
      </c>
      <c r="C115" s="21" t="s">
        <v>383</v>
      </c>
      <c r="D115" s="21" t="s">
        <v>536</v>
      </c>
      <c r="E115" s="22">
        <f t="shared" si="112"/>
        <v>50</v>
      </c>
      <c r="F115" s="41">
        <v>50</v>
      </c>
      <c r="G115" s="22">
        <v>0</v>
      </c>
      <c r="H115" s="22">
        <v>0</v>
      </c>
      <c r="I115" s="22">
        <v>0</v>
      </c>
      <c r="J115" s="22">
        <f t="shared" si="114"/>
        <v>49.97</v>
      </c>
      <c r="K115" s="22">
        <f>24.5+25.47</f>
        <v>49.97</v>
      </c>
      <c r="L115" s="22">
        <v>0</v>
      </c>
      <c r="M115" s="22">
        <v>0</v>
      </c>
      <c r="N115" s="22">
        <v>0</v>
      </c>
      <c r="O115" s="22">
        <f t="shared" si="115"/>
        <v>0.0300000000000011</v>
      </c>
      <c r="P115" s="22">
        <f t="shared" ref="P115:S115" si="127">F115-K115</f>
        <v>0.0300000000000011</v>
      </c>
      <c r="Q115" s="22">
        <f t="shared" si="127"/>
        <v>0</v>
      </c>
      <c r="R115" s="22">
        <f t="shared" si="127"/>
        <v>0</v>
      </c>
      <c r="S115" s="22">
        <f t="shared" si="127"/>
        <v>0</v>
      </c>
      <c r="T115" s="24" t="s">
        <v>28</v>
      </c>
      <c r="U115" s="24" t="s">
        <v>54</v>
      </c>
      <c r="V115" s="20" t="s">
        <v>55</v>
      </c>
      <c r="W115" s="20"/>
      <c r="X115" s="20" t="s">
        <v>537</v>
      </c>
      <c r="Y115" s="20" t="s">
        <v>502</v>
      </c>
      <c r="Z115" s="43" t="s">
        <v>492</v>
      </c>
      <c r="AA115" s="24" t="s">
        <v>493</v>
      </c>
      <c r="AB115" s="20" t="s">
        <v>66</v>
      </c>
      <c r="AC115" s="20" t="s">
        <v>67</v>
      </c>
    </row>
    <row r="116" s="5" customFormat="1" ht="81" spans="1:29">
      <c r="A116" s="20">
        <v>110</v>
      </c>
      <c r="B116" s="21" t="s">
        <v>538</v>
      </c>
      <c r="C116" s="21" t="s">
        <v>147</v>
      </c>
      <c r="D116" s="20" t="s">
        <v>539</v>
      </c>
      <c r="E116" s="22">
        <f t="shared" si="112"/>
        <v>100</v>
      </c>
      <c r="F116" s="37">
        <v>0</v>
      </c>
      <c r="G116" s="23">
        <v>100</v>
      </c>
      <c r="H116" s="37">
        <v>0</v>
      </c>
      <c r="I116" s="23">
        <v>0</v>
      </c>
      <c r="J116" s="23">
        <f t="shared" si="114"/>
        <v>86.163</v>
      </c>
      <c r="K116" s="23">
        <v>0</v>
      </c>
      <c r="L116" s="23">
        <v>86.163</v>
      </c>
      <c r="M116" s="23">
        <v>0</v>
      </c>
      <c r="N116" s="23">
        <v>0</v>
      </c>
      <c r="O116" s="23">
        <f t="shared" si="115"/>
        <v>13.837</v>
      </c>
      <c r="P116" s="23">
        <f t="shared" ref="P116:S116" si="128">F116-K116</f>
        <v>0</v>
      </c>
      <c r="Q116" s="23">
        <f t="shared" si="128"/>
        <v>13.837</v>
      </c>
      <c r="R116" s="23">
        <f t="shared" si="128"/>
        <v>0</v>
      </c>
      <c r="S116" s="23">
        <f t="shared" si="128"/>
        <v>0</v>
      </c>
      <c r="T116" s="24" t="s">
        <v>28</v>
      </c>
      <c r="U116" s="24" t="s">
        <v>308</v>
      </c>
      <c r="V116" s="24" t="s">
        <v>309</v>
      </c>
      <c r="W116" s="24" t="s">
        <v>540</v>
      </c>
      <c r="X116" s="24" t="s">
        <v>541</v>
      </c>
      <c r="Y116" s="20" t="s">
        <v>58</v>
      </c>
      <c r="Z116" s="43" t="s">
        <v>492</v>
      </c>
      <c r="AA116" s="24" t="s">
        <v>493</v>
      </c>
      <c r="AB116" s="24" t="s">
        <v>312</v>
      </c>
      <c r="AC116" s="24" t="s">
        <v>313</v>
      </c>
    </row>
    <row r="117" s="5" customFormat="1" ht="81" spans="1:29">
      <c r="A117" s="20">
        <v>111</v>
      </c>
      <c r="B117" s="21" t="s">
        <v>542</v>
      </c>
      <c r="C117" s="21" t="s">
        <v>543</v>
      </c>
      <c r="D117" s="20" t="s">
        <v>544</v>
      </c>
      <c r="E117" s="22">
        <f t="shared" si="112"/>
        <v>100</v>
      </c>
      <c r="F117" s="37">
        <v>0</v>
      </c>
      <c r="G117" s="23">
        <v>100</v>
      </c>
      <c r="H117" s="37">
        <v>0</v>
      </c>
      <c r="I117" s="37">
        <v>0</v>
      </c>
      <c r="J117" s="23">
        <f t="shared" si="114"/>
        <v>100</v>
      </c>
      <c r="K117" s="37">
        <v>0</v>
      </c>
      <c r="L117" s="37">
        <v>100</v>
      </c>
      <c r="M117" s="37">
        <v>0</v>
      </c>
      <c r="N117" s="37">
        <v>0</v>
      </c>
      <c r="O117" s="23">
        <f t="shared" si="115"/>
        <v>0</v>
      </c>
      <c r="P117" s="23">
        <f t="shared" ref="P117:S117" si="129">F117-K117</f>
        <v>0</v>
      </c>
      <c r="Q117" s="23">
        <f t="shared" si="129"/>
        <v>0</v>
      </c>
      <c r="R117" s="23">
        <f t="shared" si="129"/>
        <v>0</v>
      </c>
      <c r="S117" s="23">
        <f t="shared" si="129"/>
        <v>0</v>
      </c>
      <c r="T117" s="24" t="s">
        <v>28</v>
      </c>
      <c r="U117" s="24" t="s">
        <v>308</v>
      </c>
      <c r="V117" s="24" t="s">
        <v>309</v>
      </c>
      <c r="W117" s="24" t="s">
        <v>484</v>
      </c>
      <c r="X117" s="24" t="s">
        <v>545</v>
      </c>
      <c r="Y117" s="20" t="s">
        <v>58</v>
      </c>
      <c r="Z117" s="43" t="s">
        <v>492</v>
      </c>
      <c r="AA117" s="24" t="s">
        <v>493</v>
      </c>
      <c r="AB117" s="24" t="s">
        <v>312</v>
      </c>
      <c r="AC117" s="24" t="s">
        <v>313</v>
      </c>
    </row>
    <row r="118" s="5" customFormat="1" ht="94.5" spans="1:29">
      <c r="A118" s="20">
        <v>112</v>
      </c>
      <c r="B118" s="21" t="s">
        <v>546</v>
      </c>
      <c r="C118" s="21" t="s">
        <v>547</v>
      </c>
      <c r="D118" s="21" t="s">
        <v>548</v>
      </c>
      <c r="E118" s="22">
        <f t="shared" si="112"/>
        <v>29.7</v>
      </c>
      <c r="F118" s="37">
        <v>0</v>
      </c>
      <c r="G118" s="23">
        <v>29.7</v>
      </c>
      <c r="H118" s="37">
        <v>0</v>
      </c>
      <c r="I118" s="37">
        <v>0</v>
      </c>
      <c r="J118" s="23">
        <f t="shared" si="114"/>
        <v>29.68</v>
      </c>
      <c r="K118" s="37">
        <v>0</v>
      </c>
      <c r="L118" s="37">
        <v>29.68</v>
      </c>
      <c r="M118" s="37">
        <v>0</v>
      </c>
      <c r="N118" s="37">
        <v>0</v>
      </c>
      <c r="O118" s="23">
        <f t="shared" si="115"/>
        <v>0.0199999999999996</v>
      </c>
      <c r="P118" s="23">
        <f t="shared" ref="P118:S118" si="130">F118-K118</f>
        <v>0</v>
      </c>
      <c r="Q118" s="23">
        <f t="shared" si="130"/>
        <v>0.0199999999999996</v>
      </c>
      <c r="R118" s="23">
        <f t="shared" si="130"/>
        <v>0</v>
      </c>
      <c r="S118" s="23">
        <f t="shared" si="130"/>
        <v>0</v>
      </c>
      <c r="T118" s="24" t="s">
        <v>549</v>
      </c>
      <c r="U118" s="24" t="s">
        <v>425</v>
      </c>
      <c r="V118" s="20" t="s">
        <v>426</v>
      </c>
      <c r="W118" s="20" t="s">
        <v>550</v>
      </c>
      <c r="X118" s="20" t="s">
        <v>551</v>
      </c>
      <c r="Y118" s="20" t="s">
        <v>122</v>
      </c>
      <c r="Z118" s="43" t="s">
        <v>492</v>
      </c>
      <c r="AA118" s="24" t="s">
        <v>493</v>
      </c>
      <c r="AB118" s="24" t="s">
        <v>432</v>
      </c>
      <c r="AC118" s="24" t="s">
        <v>433</v>
      </c>
    </row>
    <row r="119" s="5" customFormat="1" ht="81" spans="1:29">
      <c r="A119" s="20">
        <v>113</v>
      </c>
      <c r="B119" s="21" t="s">
        <v>546</v>
      </c>
      <c r="C119" s="21" t="s">
        <v>552</v>
      </c>
      <c r="D119" s="21" t="s">
        <v>553</v>
      </c>
      <c r="E119" s="22">
        <f t="shared" si="112"/>
        <v>27.8</v>
      </c>
      <c r="F119" s="37">
        <v>0</v>
      </c>
      <c r="G119" s="23">
        <v>27.8</v>
      </c>
      <c r="H119" s="37">
        <v>0</v>
      </c>
      <c r="I119" s="37">
        <v>0</v>
      </c>
      <c r="J119" s="23">
        <f t="shared" si="114"/>
        <v>22.01</v>
      </c>
      <c r="K119" s="37">
        <v>0</v>
      </c>
      <c r="L119" s="37">
        <f>17.19+4.82</f>
        <v>22.01</v>
      </c>
      <c r="M119" s="37">
        <v>0</v>
      </c>
      <c r="N119" s="37">
        <v>0</v>
      </c>
      <c r="O119" s="23">
        <f t="shared" si="115"/>
        <v>5.79</v>
      </c>
      <c r="P119" s="23">
        <f t="shared" ref="P119:S119" si="131">F119-K119</f>
        <v>0</v>
      </c>
      <c r="Q119" s="23">
        <f t="shared" si="131"/>
        <v>5.79</v>
      </c>
      <c r="R119" s="23">
        <f t="shared" si="131"/>
        <v>0</v>
      </c>
      <c r="S119" s="23">
        <f t="shared" si="131"/>
        <v>0</v>
      </c>
      <c r="T119" s="24" t="s">
        <v>549</v>
      </c>
      <c r="U119" s="24" t="s">
        <v>425</v>
      </c>
      <c r="V119" s="20" t="s">
        <v>426</v>
      </c>
      <c r="W119" s="20" t="s">
        <v>554</v>
      </c>
      <c r="X119" s="20" t="s">
        <v>551</v>
      </c>
      <c r="Y119" s="20" t="s">
        <v>122</v>
      </c>
      <c r="Z119" s="43" t="s">
        <v>492</v>
      </c>
      <c r="AA119" s="24" t="s">
        <v>493</v>
      </c>
      <c r="AB119" s="24" t="s">
        <v>555</v>
      </c>
      <c r="AC119" s="24" t="s">
        <v>556</v>
      </c>
    </row>
    <row r="120" s="5" customFormat="1" ht="77" customHeight="1" spans="1:29">
      <c r="A120" s="20">
        <v>114</v>
      </c>
      <c r="B120" s="21" t="s">
        <v>557</v>
      </c>
      <c r="C120" s="21" t="s">
        <v>558</v>
      </c>
      <c r="D120" s="21" t="s">
        <v>559</v>
      </c>
      <c r="E120" s="22">
        <f t="shared" si="112"/>
        <v>12.1</v>
      </c>
      <c r="F120" s="37">
        <v>0</v>
      </c>
      <c r="G120" s="23">
        <v>12.1</v>
      </c>
      <c r="H120" s="37">
        <v>0</v>
      </c>
      <c r="I120" s="37">
        <v>0</v>
      </c>
      <c r="J120" s="23">
        <f t="shared" si="114"/>
        <v>11.839054</v>
      </c>
      <c r="K120" s="37">
        <v>0</v>
      </c>
      <c r="L120" s="37">
        <v>11.839054</v>
      </c>
      <c r="M120" s="37">
        <v>0</v>
      </c>
      <c r="N120" s="37">
        <v>0</v>
      </c>
      <c r="O120" s="23">
        <f t="shared" si="115"/>
        <v>0.260945999999999</v>
      </c>
      <c r="P120" s="23">
        <f t="shared" ref="P120:S120" si="132">F120-K120</f>
        <v>0</v>
      </c>
      <c r="Q120" s="23">
        <f t="shared" si="132"/>
        <v>0.260945999999999</v>
      </c>
      <c r="R120" s="23">
        <f t="shared" si="132"/>
        <v>0</v>
      </c>
      <c r="S120" s="23">
        <f t="shared" si="132"/>
        <v>0</v>
      </c>
      <c r="T120" s="24" t="s">
        <v>549</v>
      </c>
      <c r="U120" s="24" t="s">
        <v>425</v>
      </c>
      <c r="V120" s="20" t="s">
        <v>426</v>
      </c>
      <c r="W120" s="20" t="s">
        <v>560</v>
      </c>
      <c r="X120" s="20"/>
      <c r="Y120" s="20" t="s">
        <v>122</v>
      </c>
      <c r="Z120" s="43" t="s">
        <v>492</v>
      </c>
      <c r="AA120" s="24" t="s">
        <v>493</v>
      </c>
      <c r="AB120" s="24" t="s">
        <v>432</v>
      </c>
      <c r="AC120" s="24" t="s">
        <v>433</v>
      </c>
    </row>
    <row r="121" s="5" customFormat="1" ht="94.5" spans="1:29">
      <c r="A121" s="20">
        <v>115</v>
      </c>
      <c r="B121" s="21" t="s">
        <v>561</v>
      </c>
      <c r="C121" s="21" t="s">
        <v>562</v>
      </c>
      <c r="D121" s="21" t="s">
        <v>563</v>
      </c>
      <c r="E121" s="22">
        <f t="shared" si="112"/>
        <v>5.5</v>
      </c>
      <c r="F121" s="37">
        <v>0</v>
      </c>
      <c r="G121" s="23">
        <v>5.5</v>
      </c>
      <c r="H121" s="37">
        <v>0</v>
      </c>
      <c r="I121" s="37">
        <v>0</v>
      </c>
      <c r="J121" s="23">
        <f t="shared" si="114"/>
        <v>4.980475</v>
      </c>
      <c r="K121" s="37">
        <v>0</v>
      </c>
      <c r="L121" s="37">
        <v>4.980475</v>
      </c>
      <c r="M121" s="37">
        <v>0</v>
      </c>
      <c r="N121" s="37">
        <v>0</v>
      </c>
      <c r="O121" s="23">
        <f t="shared" si="115"/>
        <v>0.519525</v>
      </c>
      <c r="P121" s="23">
        <f t="shared" ref="P121:S121" si="133">F121-K121</f>
        <v>0</v>
      </c>
      <c r="Q121" s="23">
        <f t="shared" si="133"/>
        <v>0.519525</v>
      </c>
      <c r="R121" s="23">
        <f t="shared" si="133"/>
        <v>0</v>
      </c>
      <c r="S121" s="23">
        <f t="shared" si="133"/>
        <v>0</v>
      </c>
      <c r="T121" s="24" t="s">
        <v>549</v>
      </c>
      <c r="U121" s="24" t="s">
        <v>425</v>
      </c>
      <c r="V121" s="20" t="s">
        <v>426</v>
      </c>
      <c r="W121" s="20" t="s">
        <v>564</v>
      </c>
      <c r="X121" s="20" t="s">
        <v>565</v>
      </c>
      <c r="Y121" s="20" t="s">
        <v>122</v>
      </c>
      <c r="Z121" s="43" t="s">
        <v>492</v>
      </c>
      <c r="AA121" s="24" t="s">
        <v>493</v>
      </c>
      <c r="AB121" s="24" t="s">
        <v>432</v>
      </c>
      <c r="AC121" s="24" t="s">
        <v>433</v>
      </c>
    </row>
    <row r="122" s="5" customFormat="1" ht="62" customHeight="1" spans="1:29">
      <c r="A122" s="20">
        <v>116</v>
      </c>
      <c r="B122" s="21" t="s">
        <v>566</v>
      </c>
      <c r="C122" s="21" t="s">
        <v>567</v>
      </c>
      <c r="D122" s="21" t="s">
        <v>568</v>
      </c>
      <c r="E122" s="22">
        <f t="shared" si="112"/>
        <v>8.1</v>
      </c>
      <c r="F122" s="37">
        <v>0</v>
      </c>
      <c r="G122" s="23">
        <v>8.1</v>
      </c>
      <c r="H122" s="37">
        <v>0</v>
      </c>
      <c r="I122" s="37">
        <v>0</v>
      </c>
      <c r="J122" s="23">
        <f t="shared" si="114"/>
        <v>8.1</v>
      </c>
      <c r="K122" s="37">
        <v>0</v>
      </c>
      <c r="L122" s="37">
        <v>8.1</v>
      </c>
      <c r="M122" s="37">
        <v>0</v>
      </c>
      <c r="N122" s="37">
        <v>0</v>
      </c>
      <c r="O122" s="23">
        <f t="shared" si="115"/>
        <v>0</v>
      </c>
      <c r="P122" s="23">
        <f t="shared" ref="P122:S122" si="134">F122-K122</f>
        <v>0</v>
      </c>
      <c r="Q122" s="23">
        <f t="shared" si="134"/>
        <v>0</v>
      </c>
      <c r="R122" s="23">
        <f t="shared" si="134"/>
        <v>0</v>
      </c>
      <c r="S122" s="23">
        <f t="shared" si="134"/>
        <v>0</v>
      </c>
      <c r="T122" s="24" t="s">
        <v>549</v>
      </c>
      <c r="U122" s="24" t="s">
        <v>425</v>
      </c>
      <c r="V122" s="20" t="s">
        <v>426</v>
      </c>
      <c r="W122" s="20" t="s">
        <v>569</v>
      </c>
      <c r="X122" s="20" t="s">
        <v>570</v>
      </c>
      <c r="Y122" s="20" t="s">
        <v>122</v>
      </c>
      <c r="Z122" s="43" t="s">
        <v>492</v>
      </c>
      <c r="AA122" s="24" t="s">
        <v>493</v>
      </c>
      <c r="AB122" s="24" t="s">
        <v>432</v>
      </c>
      <c r="AC122" s="24" t="s">
        <v>433</v>
      </c>
    </row>
    <row r="123" s="5" customFormat="1" ht="94.5" spans="1:29">
      <c r="A123" s="20">
        <v>117</v>
      </c>
      <c r="B123" s="21" t="s">
        <v>571</v>
      </c>
      <c r="C123" s="21" t="s">
        <v>572</v>
      </c>
      <c r="D123" s="21" t="s">
        <v>573</v>
      </c>
      <c r="E123" s="22">
        <f t="shared" si="112"/>
        <v>50.4</v>
      </c>
      <c r="F123" s="37">
        <v>0</v>
      </c>
      <c r="G123" s="23">
        <v>50.4</v>
      </c>
      <c r="H123" s="37">
        <v>0</v>
      </c>
      <c r="I123" s="37">
        <v>0</v>
      </c>
      <c r="J123" s="23">
        <f t="shared" si="114"/>
        <v>49.3286</v>
      </c>
      <c r="K123" s="37">
        <v>0</v>
      </c>
      <c r="L123" s="37">
        <v>49.3286</v>
      </c>
      <c r="M123" s="37">
        <v>0</v>
      </c>
      <c r="N123" s="37">
        <v>0</v>
      </c>
      <c r="O123" s="23">
        <f t="shared" si="115"/>
        <v>1.0714</v>
      </c>
      <c r="P123" s="23">
        <f t="shared" ref="P123:S123" si="135">F123-K123</f>
        <v>0</v>
      </c>
      <c r="Q123" s="23">
        <f t="shared" si="135"/>
        <v>1.0714</v>
      </c>
      <c r="R123" s="23">
        <f t="shared" si="135"/>
        <v>0</v>
      </c>
      <c r="S123" s="23">
        <f t="shared" si="135"/>
        <v>0</v>
      </c>
      <c r="T123" s="21" t="s">
        <v>28</v>
      </c>
      <c r="U123" s="21" t="s">
        <v>425</v>
      </c>
      <c r="V123" s="20" t="s">
        <v>426</v>
      </c>
      <c r="W123" s="20" t="s">
        <v>574</v>
      </c>
      <c r="X123" s="20" t="s">
        <v>575</v>
      </c>
      <c r="Y123" s="20" t="s">
        <v>122</v>
      </c>
      <c r="Z123" s="43" t="s">
        <v>492</v>
      </c>
      <c r="AA123" s="24" t="s">
        <v>493</v>
      </c>
      <c r="AB123" s="24" t="s">
        <v>576</v>
      </c>
      <c r="AC123" s="24" t="s">
        <v>577</v>
      </c>
    </row>
    <row r="124" s="5" customFormat="1" ht="94.5" spans="1:29">
      <c r="A124" s="20">
        <v>118</v>
      </c>
      <c r="B124" s="21" t="s">
        <v>578</v>
      </c>
      <c r="C124" s="21" t="s">
        <v>579</v>
      </c>
      <c r="D124" s="21" t="s">
        <v>580</v>
      </c>
      <c r="E124" s="22">
        <f t="shared" si="112"/>
        <v>37.5</v>
      </c>
      <c r="F124" s="37">
        <v>0</v>
      </c>
      <c r="G124" s="23">
        <v>37.5</v>
      </c>
      <c r="H124" s="37">
        <v>0</v>
      </c>
      <c r="I124" s="37">
        <v>0</v>
      </c>
      <c r="J124" s="23">
        <f t="shared" si="114"/>
        <v>37.5</v>
      </c>
      <c r="K124" s="37">
        <v>0</v>
      </c>
      <c r="L124" s="37">
        <v>37.5</v>
      </c>
      <c r="M124" s="37">
        <v>0</v>
      </c>
      <c r="N124" s="37">
        <v>0</v>
      </c>
      <c r="O124" s="23">
        <f t="shared" si="115"/>
        <v>0</v>
      </c>
      <c r="P124" s="23">
        <f t="shared" ref="P124:S124" si="136">F124-K124</f>
        <v>0</v>
      </c>
      <c r="Q124" s="23">
        <f t="shared" si="136"/>
        <v>0</v>
      </c>
      <c r="R124" s="23">
        <f t="shared" si="136"/>
        <v>0</v>
      </c>
      <c r="S124" s="23">
        <f t="shared" si="136"/>
        <v>0</v>
      </c>
      <c r="T124" s="21" t="s">
        <v>28</v>
      </c>
      <c r="U124" s="21" t="s">
        <v>425</v>
      </c>
      <c r="V124" s="20" t="s">
        <v>426</v>
      </c>
      <c r="W124" s="20" t="s">
        <v>569</v>
      </c>
      <c r="X124" s="20" t="s">
        <v>581</v>
      </c>
      <c r="Y124" s="20" t="s">
        <v>122</v>
      </c>
      <c r="Z124" s="43" t="s">
        <v>492</v>
      </c>
      <c r="AA124" s="24" t="s">
        <v>493</v>
      </c>
      <c r="AB124" s="24" t="s">
        <v>576</v>
      </c>
      <c r="AC124" s="24" t="s">
        <v>577</v>
      </c>
    </row>
    <row r="125" s="5" customFormat="1" ht="94.5" spans="1:29">
      <c r="A125" s="20">
        <v>119</v>
      </c>
      <c r="B125" s="21" t="s">
        <v>582</v>
      </c>
      <c r="C125" s="21" t="s">
        <v>583</v>
      </c>
      <c r="D125" s="21" t="s">
        <v>584</v>
      </c>
      <c r="E125" s="22">
        <f t="shared" si="112"/>
        <v>4.8</v>
      </c>
      <c r="F125" s="37">
        <v>0</v>
      </c>
      <c r="G125" s="23">
        <v>4.8</v>
      </c>
      <c r="H125" s="37">
        <v>0</v>
      </c>
      <c r="I125" s="37">
        <v>0</v>
      </c>
      <c r="J125" s="23">
        <f t="shared" si="114"/>
        <v>4.8</v>
      </c>
      <c r="K125" s="37">
        <v>0</v>
      </c>
      <c r="L125" s="37">
        <v>4.8</v>
      </c>
      <c r="M125" s="37">
        <v>0</v>
      </c>
      <c r="N125" s="37">
        <v>0</v>
      </c>
      <c r="O125" s="23">
        <f t="shared" si="115"/>
        <v>0</v>
      </c>
      <c r="P125" s="23">
        <f t="shared" ref="P125:S125" si="137">F125-K125</f>
        <v>0</v>
      </c>
      <c r="Q125" s="23">
        <f t="shared" si="137"/>
        <v>0</v>
      </c>
      <c r="R125" s="23">
        <f t="shared" si="137"/>
        <v>0</v>
      </c>
      <c r="S125" s="23">
        <f t="shared" si="137"/>
        <v>0</v>
      </c>
      <c r="T125" s="21" t="s">
        <v>28</v>
      </c>
      <c r="U125" s="21" t="s">
        <v>425</v>
      </c>
      <c r="V125" s="20" t="s">
        <v>426</v>
      </c>
      <c r="W125" s="20" t="s">
        <v>585</v>
      </c>
      <c r="X125" s="20" t="s">
        <v>586</v>
      </c>
      <c r="Y125" s="20" t="s">
        <v>122</v>
      </c>
      <c r="Z125" s="43" t="s">
        <v>492</v>
      </c>
      <c r="AA125" s="24" t="s">
        <v>493</v>
      </c>
      <c r="AB125" s="24" t="s">
        <v>576</v>
      </c>
      <c r="AC125" s="24" t="s">
        <v>577</v>
      </c>
    </row>
    <row r="126" s="5" customFormat="1" ht="94.5" spans="1:29">
      <c r="A126" s="20">
        <v>120</v>
      </c>
      <c r="B126" s="21" t="s">
        <v>587</v>
      </c>
      <c r="C126" s="21" t="s">
        <v>588</v>
      </c>
      <c r="D126" s="21" t="s">
        <v>589</v>
      </c>
      <c r="E126" s="22">
        <f t="shared" si="112"/>
        <v>22.1</v>
      </c>
      <c r="F126" s="37">
        <v>0</v>
      </c>
      <c r="G126" s="23">
        <v>22.1</v>
      </c>
      <c r="H126" s="37">
        <v>0</v>
      </c>
      <c r="I126" s="37">
        <v>0</v>
      </c>
      <c r="J126" s="23">
        <f t="shared" si="114"/>
        <v>22.1</v>
      </c>
      <c r="K126" s="37">
        <v>0</v>
      </c>
      <c r="L126" s="37">
        <v>22.1</v>
      </c>
      <c r="M126" s="37">
        <v>0</v>
      </c>
      <c r="N126" s="37">
        <v>0</v>
      </c>
      <c r="O126" s="23">
        <f t="shared" si="115"/>
        <v>0</v>
      </c>
      <c r="P126" s="23">
        <f t="shared" ref="P126:S126" si="138">F126-K126</f>
        <v>0</v>
      </c>
      <c r="Q126" s="23">
        <f t="shared" si="138"/>
        <v>0</v>
      </c>
      <c r="R126" s="23">
        <f t="shared" si="138"/>
        <v>0</v>
      </c>
      <c r="S126" s="23">
        <f t="shared" si="138"/>
        <v>0</v>
      </c>
      <c r="T126" s="21" t="s">
        <v>28</v>
      </c>
      <c r="U126" s="21" t="s">
        <v>425</v>
      </c>
      <c r="V126" s="20" t="s">
        <v>426</v>
      </c>
      <c r="W126" s="20" t="s">
        <v>590</v>
      </c>
      <c r="X126" s="20" t="s">
        <v>591</v>
      </c>
      <c r="Y126" s="20" t="s">
        <v>122</v>
      </c>
      <c r="Z126" s="43" t="s">
        <v>492</v>
      </c>
      <c r="AA126" s="24" t="s">
        <v>493</v>
      </c>
      <c r="AB126" s="24" t="s">
        <v>576</v>
      </c>
      <c r="AC126" s="24" t="s">
        <v>577</v>
      </c>
    </row>
    <row r="127" s="5" customFormat="1" ht="54" spans="1:29">
      <c r="A127" s="20">
        <v>121</v>
      </c>
      <c r="B127" s="21" t="s">
        <v>592</v>
      </c>
      <c r="C127" s="21" t="s">
        <v>26</v>
      </c>
      <c r="D127" s="21" t="s">
        <v>402</v>
      </c>
      <c r="E127" s="22">
        <f t="shared" si="112"/>
        <v>13</v>
      </c>
      <c r="F127" s="37">
        <v>0</v>
      </c>
      <c r="G127" s="23">
        <v>13</v>
      </c>
      <c r="H127" s="37">
        <v>0</v>
      </c>
      <c r="I127" s="23">
        <v>0</v>
      </c>
      <c r="J127" s="23">
        <f t="shared" si="114"/>
        <v>13</v>
      </c>
      <c r="K127" s="23">
        <v>0</v>
      </c>
      <c r="L127" s="27">
        <v>13</v>
      </c>
      <c r="M127" s="23">
        <v>0</v>
      </c>
      <c r="N127" s="23">
        <v>0</v>
      </c>
      <c r="O127" s="23">
        <f t="shared" si="115"/>
        <v>0</v>
      </c>
      <c r="P127" s="23">
        <f t="shared" ref="P127:S127" si="139">F127-K127</f>
        <v>0</v>
      </c>
      <c r="Q127" s="23">
        <f t="shared" si="139"/>
        <v>0</v>
      </c>
      <c r="R127" s="23">
        <f t="shared" si="139"/>
        <v>0</v>
      </c>
      <c r="S127" s="23">
        <f t="shared" si="139"/>
        <v>0</v>
      </c>
      <c r="T127" s="21" t="s">
        <v>46</v>
      </c>
      <c r="U127" s="21" t="s">
        <v>29</v>
      </c>
      <c r="V127" s="20" t="s">
        <v>30</v>
      </c>
      <c r="W127" s="20" t="s">
        <v>593</v>
      </c>
      <c r="X127" s="20"/>
      <c r="Y127" s="20" t="s">
        <v>594</v>
      </c>
      <c r="Z127" s="43" t="s">
        <v>492</v>
      </c>
      <c r="AA127" s="24" t="s">
        <v>493</v>
      </c>
      <c r="AB127" s="21" t="s">
        <v>595</v>
      </c>
      <c r="AC127" s="21" t="s">
        <v>596</v>
      </c>
    </row>
    <row r="128" s="5" customFormat="1" ht="56" customHeight="1" spans="1:29">
      <c r="A128" s="20">
        <v>122</v>
      </c>
      <c r="B128" s="21" t="s">
        <v>597</v>
      </c>
      <c r="C128" s="21" t="s">
        <v>598</v>
      </c>
      <c r="D128" s="21" t="s">
        <v>599</v>
      </c>
      <c r="E128" s="22">
        <f t="shared" si="112"/>
        <v>344</v>
      </c>
      <c r="F128" s="42">
        <v>85</v>
      </c>
      <c r="G128" s="42">
        <v>259</v>
      </c>
      <c r="H128" s="37">
        <v>0</v>
      </c>
      <c r="I128" s="37">
        <v>0</v>
      </c>
      <c r="J128" s="23">
        <f t="shared" ref="J128:J135" si="140">K128+L128+M128+N128</f>
        <v>344</v>
      </c>
      <c r="K128" s="37">
        <v>85</v>
      </c>
      <c r="L128" s="37">
        <v>259</v>
      </c>
      <c r="M128" s="37">
        <v>0</v>
      </c>
      <c r="N128" s="37">
        <v>0</v>
      </c>
      <c r="O128" s="23">
        <f t="shared" ref="O128:O135" si="141">P128+Q128+R128+S128</f>
        <v>0</v>
      </c>
      <c r="P128" s="37">
        <v>0</v>
      </c>
      <c r="Q128" s="37">
        <v>0</v>
      </c>
      <c r="R128" s="37">
        <v>0</v>
      </c>
      <c r="S128" s="37">
        <v>0</v>
      </c>
      <c r="T128" s="24" t="s">
        <v>90</v>
      </c>
      <c r="U128" s="24" t="s">
        <v>425</v>
      </c>
      <c r="V128" s="20" t="s">
        <v>426</v>
      </c>
      <c r="W128" s="20" t="s">
        <v>600</v>
      </c>
      <c r="X128" s="20" t="s">
        <v>581</v>
      </c>
      <c r="Y128" s="20" t="s">
        <v>429</v>
      </c>
      <c r="Z128" s="43" t="s">
        <v>601</v>
      </c>
      <c r="AA128" s="24" t="s">
        <v>602</v>
      </c>
      <c r="AB128" s="24" t="s">
        <v>432</v>
      </c>
      <c r="AC128" s="24" t="s">
        <v>433</v>
      </c>
    </row>
    <row r="129" s="5" customFormat="1" ht="118" customHeight="1" spans="1:29">
      <c r="A129" s="20">
        <v>123</v>
      </c>
      <c r="B129" s="21" t="s">
        <v>603</v>
      </c>
      <c r="C129" s="21" t="s">
        <v>604</v>
      </c>
      <c r="D129" s="21" t="s">
        <v>605</v>
      </c>
      <c r="E129" s="22">
        <f t="shared" si="112"/>
        <v>45</v>
      </c>
      <c r="F129" s="37">
        <v>45</v>
      </c>
      <c r="G129" s="37">
        <v>0</v>
      </c>
      <c r="H129" s="37">
        <v>0</v>
      </c>
      <c r="I129" s="37">
        <v>0</v>
      </c>
      <c r="J129" s="23">
        <f t="shared" si="140"/>
        <v>45</v>
      </c>
      <c r="K129" s="37">
        <v>45</v>
      </c>
      <c r="L129" s="37">
        <v>0</v>
      </c>
      <c r="M129" s="37">
        <v>0</v>
      </c>
      <c r="N129" s="37">
        <v>0</v>
      </c>
      <c r="O129" s="23">
        <f t="shared" si="141"/>
        <v>0</v>
      </c>
      <c r="P129" s="23">
        <f t="shared" ref="P129:S129" si="142">F129-K129</f>
        <v>0</v>
      </c>
      <c r="Q129" s="23">
        <f t="shared" si="142"/>
        <v>0</v>
      </c>
      <c r="R129" s="23">
        <f t="shared" si="142"/>
        <v>0</v>
      </c>
      <c r="S129" s="23">
        <f t="shared" si="142"/>
        <v>0</v>
      </c>
      <c r="T129" s="24" t="s">
        <v>28</v>
      </c>
      <c r="U129" s="21" t="s">
        <v>606</v>
      </c>
      <c r="V129" s="20" t="s">
        <v>607</v>
      </c>
      <c r="W129" s="20" t="s">
        <v>608</v>
      </c>
      <c r="X129" s="20" t="s">
        <v>609</v>
      </c>
      <c r="Y129" s="20" t="s">
        <v>122</v>
      </c>
      <c r="Z129" s="21" t="s">
        <v>610</v>
      </c>
      <c r="AA129" s="21" t="s">
        <v>611</v>
      </c>
      <c r="AB129" s="21" t="s">
        <v>612</v>
      </c>
      <c r="AC129" s="21" t="s">
        <v>613</v>
      </c>
    </row>
    <row r="130" s="5" customFormat="1" ht="81" spans="1:29">
      <c r="A130" s="20">
        <v>124</v>
      </c>
      <c r="B130" s="20" t="s">
        <v>614</v>
      </c>
      <c r="C130" s="20" t="s">
        <v>615</v>
      </c>
      <c r="D130" s="20" t="s">
        <v>616</v>
      </c>
      <c r="E130" s="22">
        <f t="shared" si="112"/>
        <v>30</v>
      </c>
      <c r="F130" s="37">
        <v>0</v>
      </c>
      <c r="G130" s="37">
        <v>30</v>
      </c>
      <c r="H130" s="37">
        <v>0</v>
      </c>
      <c r="I130" s="37">
        <v>0</v>
      </c>
      <c r="J130" s="23">
        <f t="shared" si="140"/>
        <v>29.987822</v>
      </c>
      <c r="K130" s="37">
        <v>0</v>
      </c>
      <c r="L130" s="37">
        <v>29.987822</v>
      </c>
      <c r="M130" s="37">
        <v>0</v>
      </c>
      <c r="N130" s="37">
        <v>0</v>
      </c>
      <c r="O130" s="23">
        <f t="shared" si="141"/>
        <v>0.0121779999999987</v>
      </c>
      <c r="P130" s="23">
        <f t="shared" ref="P130:S130" si="143">F130-K130</f>
        <v>0</v>
      </c>
      <c r="Q130" s="23">
        <f t="shared" si="143"/>
        <v>0.0121779999999987</v>
      </c>
      <c r="R130" s="23">
        <f t="shared" si="143"/>
        <v>0</v>
      </c>
      <c r="S130" s="23">
        <f t="shared" si="143"/>
        <v>0</v>
      </c>
      <c r="T130" s="24" t="s">
        <v>90</v>
      </c>
      <c r="U130" s="24" t="s">
        <v>322</v>
      </c>
      <c r="V130" s="20" t="s">
        <v>323</v>
      </c>
      <c r="W130" s="20" t="s">
        <v>617</v>
      </c>
      <c r="X130" s="20" t="s">
        <v>618</v>
      </c>
      <c r="Y130" s="20" t="s">
        <v>619</v>
      </c>
      <c r="Z130" s="20" t="s">
        <v>620</v>
      </c>
      <c r="AA130" s="20" t="s">
        <v>621</v>
      </c>
      <c r="AB130" s="20" t="s">
        <v>328</v>
      </c>
      <c r="AC130" s="20" t="s">
        <v>329</v>
      </c>
    </row>
    <row r="131" s="5" customFormat="1" ht="81" spans="1:29">
      <c r="A131" s="20">
        <v>125</v>
      </c>
      <c r="B131" s="20" t="s">
        <v>622</v>
      </c>
      <c r="C131" s="21" t="s">
        <v>26</v>
      </c>
      <c r="D131" s="20" t="s">
        <v>45</v>
      </c>
      <c r="E131" s="22">
        <f t="shared" si="112"/>
        <v>69</v>
      </c>
      <c r="F131" s="37">
        <v>0</v>
      </c>
      <c r="G131" s="37">
        <v>69</v>
      </c>
      <c r="H131" s="37">
        <v>0</v>
      </c>
      <c r="I131" s="37">
        <v>0</v>
      </c>
      <c r="J131" s="23">
        <f t="shared" si="140"/>
        <v>69</v>
      </c>
      <c r="K131" s="37">
        <v>0</v>
      </c>
      <c r="L131" s="37">
        <v>69</v>
      </c>
      <c r="M131" s="37">
        <v>0</v>
      </c>
      <c r="N131" s="37">
        <v>0</v>
      </c>
      <c r="O131" s="23">
        <f t="shared" si="141"/>
        <v>0</v>
      </c>
      <c r="P131" s="23">
        <f t="shared" ref="P131:S131" si="144">F131-K131</f>
        <v>0</v>
      </c>
      <c r="Q131" s="23">
        <f t="shared" si="144"/>
        <v>0</v>
      </c>
      <c r="R131" s="23">
        <f t="shared" si="144"/>
        <v>0</v>
      </c>
      <c r="S131" s="23">
        <f t="shared" si="144"/>
        <v>0</v>
      </c>
      <c r="T131" s="21" t="s">
        <v>46</v>
      </c>
      <c r="U131" s="24" t="s">
        <v>29</v>
      </c>
      <c r="V131" s="24" t="s">
        <v>30</v>
      </c>
      <c r="W131" s="24">
        <v>2023.09</v>
      </c>
      <c r="X131" s="24"/>
      <c r="Y131" s="20" t="s">
        <v>623</v>
      </c>
      <c r="Z131" s="20" t="s">
        <v>620</v>
      </c>
      <c r="AA131" s="20" t="s">
        <v>621</v>
      </c>
      <c r="AB131" s="24" t="s">
        <v>49</v>
      </c>
      <c r="AC131" s="24" t="s">
        <v>50</v>
      </c>
    </row>
    <row r="132" s="5" customFormat="1" ht="67.5" spans="1:29">
      <c r="A132" s="20">
        <v>126</v>
      </c>
      <c r="B132" s="20" t="s">
        <v>624</v>
      </c>
      <c r="C132" s="20" t="s">
        <v>423</v>
      </c>
      <c r="D132" s="20" t="s">
        <v>625</v>
      </c>
      <c r="E132" s="22">
        <f t="shared" si="112"/>
        <v>23.28</v>
      </c>
      <c r="F132" s="37">
        <v>0</v>
      </c>
      <c r="G132" s="37">
        <v>23.28</v>
      </c>
      <c r="H132" s="37">
        <v>0</v>
      </c>
      <c r="I132" s="37">
        <v>0</v>
      </c>
      <c r="J132" s="23">
        <f t="shared" si="140"/>
        <v>23.26</v>
      </c>
      <c r="K132" s="37">
        <v>0</v>
      </c>
      <c r="L132" s="37">
        <v>23.26</v>
      </c>
      <c r="M132" s="37">
        <v>0</v>
      </c>
      <c r="N132" s="37">
        <v>0</v>
      </c>
      <c r="O132" s="23">
        <f t="shared" si="141"/>
        <v>0.0199999999999996</v>
      </c>
      <c r="P132" s="23">
        <f t="shared" ref="P132:S132" si="145">F132-K132</f>
        <v>0</v>
      </c>
      <c r="Q132" s="23">
        <f t="shared" si="145"/>
        <v>0.0199999999999996</v>
      </c>
      <c r="R132" s="23">
        <f t="shared" si="145"/>
        <v>0</v>
      </c>
      <c r="S132" s="23">
        <f t="shared" si="145"/>
        <v>0</v>
      </c>
      <c r="T132" s="24" t="s">
        <v>90</v>
      </c>
      <c r="U132" s="24" t="s">
        <v>29</v>
      </c>
      <c r="V132" s="20" t="s">
        <v>30</v>
      </c>
      <c r="W132" s="20" t="s">
        <v>626</v>
      </c>
      <c r="X132" s="20" t="s">
        <v>627</v>
      </c>
      <c r="Y132" s="20" t="s">
        <v>41</v>
      </c>
      <c r="Z132" s="20" t="s">
        <v>620</v>
      </c>
      <c r="AA132" s="20" t="s">
        <v>621</v>
      </c>
      <c r="AB132" s="20" t="s">
        <v>95</v>
      </c>
      <c r="AC132" s="20" t="s">
        <v>96</v>
      </c>
    </row>
    <row r="133" s="5" customFormat="1" ht="81" spans="1:29">
      <c r="A133" s="20">
        <v>127</v>
      </c>
      <c r="B133" s="20" t="s">
        <v>628</v>
      </c>
      <c r="C133" s="20" t="s">
        <v>629</v>
      </c>
      <c r="D133" s="20" t="s">
        <v>630</v>
      </c>
      <c r="E133" s="22">
        <f t="shared" si="112"/>
        <v>20</v>
      </c>
      <c r="F133" s="37">
        <v>0</v>
      </c>
      <c r="G133" s="37">
        <v>20</v>
      </c>
      <c r="H133" s="37">
        <v>0</v>
      </c>
      <c r="I133" s="37">
        <v>0</v>
      </c>
      <c r="J133" s="23">
        <f t="shared" si="140"/>
        <v>19.97</v>
      </c>
      <c r="K133" s="37">
        <v>0</v>
      </c>
      <c r="L133" s="37">
        <v>19.97</v>
      </c>
      <c r="M133" s="37">
        <v>0</v>
      </c>
      <c r="N133" s="37">
        <v>0</v>
      </c>
      <c r="O133" s="23">
        <f t="shared" si="141"/>
        <v>0.0300000000000011</v>
      </c>
      <c r="P133" s="23">
        <f t="shared" ref="P133:S133" si="146">F133-K133</f>
        <v>0</v>
      </c>
      <c r="Q133" s="23">
        <f t="shared" si="146"/>
        <v>0.0300000000000011</v>
      </c>
      <c r="R133" s="23">
        <f t="shared" si="146"/>
        <v>0</v>
      </c>
      <c r="S133" s="23">
        <f t="shared" si="146"/>
        <v>0</v>
      </c>
      <c r="T133" s="24" t="s">
        <v>90</v>
      </c>
      <c r="U133" s="24" t="s">
        <v>29</v>
      </c>
      <c r="V133" s="20" t="s">
        <v>30</v>
      </c>
      <c r="W133" s="20" t="s">
        <v>631</v>
      </c>
      <c r="X133" s="20" t="s">
        <v>632</v>
      </c>
      <c r="Y133" s="20" t="s">
        <v>41</v>
      </c>
      <c r="Z133" s="20" t="s">
        <v>620</v>
      </c>
      <c r="AA133" s="20" t="s">
        <v>621</v>
      </c>
      <c r="AB133" s="20" t="s">
        <v>95</v>
      </c>
      <c r="AC133" s="20" t="s">
        <v>96</v>
      </c>
    </row>
    <row r="134" s="5" customFormat="1" ht="67.5" spans="1:29">
      <c r="A134" s="20">
        <v>128</v>
      </c>
      <c r="B134" s="20" t="s">
        <v>633</v>
      </c>
      <c r="C134" s="20" t="s">
        <v>634</v>
      </c>
      <c r="D134" s="20" t="s">
        <v>635</v>
      </c>
      <c r="E134" s="22">
        <f t="shared" si="112"/>
        <v>4.48</v>
      </c>
      <c r="F134" s="37">
        <v>0</v>
      </c>
      <c r="G134" s="37">
        <v>4.48</v>
      </c>
      <c r="H134" s="37">
        <v>0</v>
      </c>
      <c r="I134" s="37">
        <v>0</v>
      </c>
      <c r="J134" s="23">
        <f t="shared" si="140"/>
        <v>4.132217</v>
      </c>
      <c r="K134" s="37">
        <v>0</v>
      </c>
      <c r="L134" s="37">
        <v>4.132217</v>
      </c>
      <c r="M134" s="37">
        <v>0</v>
      </c>
      <c r="N134" s="37">
        <v>0</v>
      </c>
      <c r="O134" s="23">
        <f t="shared" si="141"/>
        <v>0.347783000000001</v>
      </c>
      <c r="P134" s="23">
        <f t="shared" ref="P134:S134" si="147">F134-K134</f>
        <v>0</v>
      </c>
      <c r="Q134" s="23">
        <f t="shared" si="147"/>
        <v>0.347783000000001</v>
      </c>
      <c r="R134" s="23">
        <f t="shared" si="147"/>
        <v>0</v>
      </c>
      <c r="S134" s="23">
        <f t="shared" si="147"/>
        <v>0</v>
      </c>
      <c r="T134" s="24" t="s">
        <v>28</v>
      </c>
      <c r="U134" s="24" t="s">
        <v>54</v>
      </c>
      <c r="V134" s="20" t="s">
        <v>55</v>
      </c>
      <c r="W134" s="20" t="s">
        <v>636</v>
      </c>
      <c r="X134" s="20" t="s">
        <v>637</v>
      </c>
      <c r="Y134" s="20" t="s">
        <v>638</v>
      </c>
      <c r="Z134" s="20" t="s">
        <v>620</v>
      </c>
      <c r="AA134" s="20" t="s">
        <v>621</v>
      </c>
      <c r="AB134" s="20" t="s">
        <v>66</v>
      </c>
      <c r="AC134" s="20" t="s">
        <v>67</v>
      </c>
    </row>
    <row r="135" s="5" customFormat="1" ht="67.5" spans="1:29">
      <c r="A135" s="20">
        <v>129</v>
      </c>
      <c r="B135" s="20" t="s">
        <v>639</v>
      </c>
      <c r="C135" s="20" t="s">
        <v>640</v>
      </c>
      <c r="D135" s="20" t="s">
        <v>641</v>
      </c>
      <c r="E135" s="22">
        <f t="shared" si="112"/>
        <v>38.36</v>
      </c>
      <c r="F135" s="37">
        <v>0</v>
      </c>
      <c r="G135" s="37">
        <v>38.36</v>
      </c>
      <c r="H135" s="37">
        <v>0</v>
      </c>
      <c r="I135" s="37">
        <v>0</v>
      </c>
      <c r="J135" s="23">
        <f t="shared" si="140"/>
        <v>38.3446</v>
      </c>
      <c r="K135" s="37">
        <v>0</v>
      </c>
      <c r="L135" s="37">
        <v>38.3446</v>
      </c>
      <c r="M135" s="37">
        <v>0</v>
      </c>
      <c r="N135" s="37">
        <v>0</v>
      </c>
      <c r="O135" s="23">
        <f t="shared" si="141"/>
        <v>0.0153999999999996</v>
      </c>
      <c r="P135" s="23">
        <f t="shared" ref="P135:S135" si="148">F135-K135</f>
        <v>0</v>
      </c>
      <c r="Q135" s="23">
        <f t="shared" si="148"/>
        <v>0.0153999999999996</v>
      </c>
      <c r="R135" s="23">
        <f t="shared" si="148"/>
        <v>0</v>
      </c>
      <c r="S135" s="23">
        <f t="shared" si="148"/>
        <v>0</v>
      </c>
      <c r="T135" s="24" t="s">
        <v>28</v>
      </c>
      <c r="U135" s="24" t="s">
        <v>54</v>
      </c>
      <c r="V135" s="20" t="s">
        <v>55</v>
      </c>
      <c r="W135" s="20" t="s">
        <v>642</v>
      </c>
      <c r="X135" s="20" t="s">
        <v>643</v>
      </c>
      <c r="Y135" s="20" t="s">
        <v>638</v>
      </c>
      <c r="Z135" s="20" t="s">
        <v>620</v>
      </c>
      <c r="AA135" s="20" t="s">
        <v>621</v>
      </c>
      <c r="AB135" s="20" t="s">
        <v>66</v>
      </c>
      <c r="AC135" s="20" t="s">
        <v>67</v>
      </c>
    </row>
    <row r="136" s="5" customFormat="1" ht="63" customHeight="1" spans="1:29">
      <c r="A136" s="20">
        <v>130</v>
      </c>
      <c r="B136" s="20" t="s">
        <v>644</v>
      </c>
      <c r="C136" s="20" t="s">
        <v>645</v>
      </c>
      <c r="D136" s="20" t="s">
        <v>646</v>
      </c>
      <c r="E136" s="22">
        <v>9.83</v>
      </c>
      <c r="F136" s="37">
        <v>0</v>
      </c>
      <c r="G136" s="37">
        <v>3.46</v>
      </c>
      <c r="H136" s="37">
        <v>6.37</v>
      </c>
      <c r="I136" s="37">
        <v>0</v>
      </c>
      <c r="J136" s="23">
        <v>9.8132</v>
      </c>
      <c r="K136" s="37">
        <v>0</v>
      </c>
      <c r="L136" s="37">
        <v>3.46</v>
      </c>
      <c r="M136" s="37">
        <v>6.3532</v>
      </c>
      <c r="N136" s="37">
        <v>0</v>
      </c>
      <c r="O136" s="23">
        <v>0.0167999999999999</v>
      </c>
      <c r="P136" s="23">
        <v>0</v>
      </c>
      <c r="Q136" s="23">
        <v>0</v>
      </c>
      <c r="R136" s="23">
        <v>0.0167999999999999</v>
      </c>
      <c r="S136" s="23">
        <v>0</v>
      </c>
      <c r="T136" s="24" t="s">
        <v>28</v>
      </c>
      <c r="U136" s="24" t="s">
        <v>54</v>
      </c>
      <c r="V136" s="20" t="s">
        <v>55</v>
      </c>
      <c r="W136" s="20" t="s">
        <v>647</v>
      </c>
      <c r="X136" s="20" t="s">
        <v>643</v>
      </c>
      <c r="Y136" s="20" t="s">
        <v>638</v>
      </c>
      <c r="Z136" s="20" t="s">
        <v>648</v>
      </c>
      <c r="AA136" s="20" t="s">
        <v>649</v>
      </c>
      <c r="AB136" s="20" t="s">
        <v>66</v>
      </c>
      <c r="AC136" s="20" t="s">
        <v>67</v>
      </c>
    </row>
    <row r="137" s="5" customFormat="1" ht="47" customHeight="1" spans="1:29">
      <c r="A137" s="20">
        <v>131</v>
      </c>
      <c r="B137" s="20" t="s">
        <v>650</v>
      </c>
      <c r="C137" s="20" t="s">
        <v>651</v>
      </c>
      <c r="D137" s="20" t="s">
        <v>652</v>
      </c>
      <c r="E137" s="22">
        <f>F137+G137+H137+I137</f>
        <v>21.72</v>
      </c>
      <c r="F137" s="37">
        <v>0</v>
      </c>
      <c r="G137" s="37">
        <v>0</v>
      </c>
      <c r="H137" s="37">
        <v>21.72</v>
      </c>
      <c r="I137" s="37">
        <v>0</v>
      </c>
      <c r="J137" s="23">
        <f>K137+L137+M137+N137</f>
        <v>21.6768</v>
      </c>
      <c r="K137" s="37">
        <v>0</v>
      </c>
      <c r="L137" s="37">
        <v>0</v>
      </c>
      <c r="M137" s="37">
        <v>21.6768</v>
      </c>
      <c r="N137" s="37">
        <v>0</v>
      </c>
      <c r="O137" s="23">
        <f>P137+Q137+R137+S137</f>
        <v>0.0431999999999988</v>
      </c>
      <c r="P137" s="23">
        <f t="shared" ref="P137:S137" si="149">F137-K137</f>
        <v>0</v>
      </c>
      <c r="Q137" s="23">
        <f t="shared" si="149"/>
        <v>0</v>
      </c>
      <c r="R137" s="23">
        <f t="shared" si="149"/>
        <v>0.0431999999999988</v>
      </c>
      <c r="S137" s="23">
        <f t="shared" si="149"/>
        <v>0</v>
      </c>
      <c r="T137" s="24" t="s">
        <v>28</v>
      </c>
      <c r="U137" s="24" t="s">
        <v>54</v>
      </c>
      <c r="V137" s="20" t="s">
        <v>55</v>
      </c>
      <c r="W137" s="20" t="s">
        <v>642</v>
      </c>
      <c r="X137" s="20" t="s">
        <v>643</v>
      </c>
      <c r="Y137" s="20" t="s">
        <v>638</v>
      </c>
      <c r="Z137" s="20" t="s">
        <v>653</v>
      </c>
      <c r="AA137" s="20" t="s">
        <v>654</v>
      </c>
      <c r="AB137" s="20" t="s">
        <v>66</v>
      </c>
      <c r="AC137" s="20" t="s">
        <v>67</v>
      </c>
    </row>
    <row r="138" s="5" customFormat="1" ht="54" customHeight="1" spans="1:29">
      <c r="A138" s="20">
        <v>132</v>
      </c>
      <c r="B138" s="20" t="s">
        <v>655</v>
      </c>
      <c r="C138" s="20" t="s">
        <v>656</v>
      </c>
      <c r="D138" s="20" t="s">
        <v>657</v>
      </c>
      <c r="E138" s="22">
        <f t="shared" ref="E138:E149" si="150">F138+G138+H138+I138</f>
        <v>14.31</v>
      </c>
      <c r="F138" s="37">
        <v>0</v>
      </c>
      <c r="G138" s="37">
        <v>0</v>
      </c>
      <c r="H138" s="37">
        <v>14.31</v>
      </c>
      <c r="I138" s="37">
        <v>0</v>
      </c>
      <c r="J138" s="23">
        <f>K138+L138+M138+N138</f>
        <v>14.0738</v>
      </c>
      <c r="K138" s="37">
        <v>0</v>
      </c>
      <c r="L138" s="37">
        <v>0</v>
      </c>
      <c r="M138" s="37">
        <v>14.0738</v>
      </c>
      <c r="N138" s="37">
        <v>0</v>
      </c>
      <c r="O138" s="23">
        <f>P138+Q138+R138+S138</f>
        <v>0.2362</v>
      </c>
      <c r="P138" s="23">
        <f t="shared" ref="P138:S138" si="151">F138-K138</f>
        <v>0</v>
      </c>
      <c r="Q138" s="23">
        <f t="shared" si="151"/>
        <v>0</v>
      </c>
      <c r="R138" s="23">
        <f t="shared" si="151"/>
        <v>0.2362</v>
      </c>
      <c r="S138" s="23">
        <f t="shared" si="151"/>
        <v>0</v>
      </c>
      <c r="T138" s="24" t="s">
        <v>28</v>
      </c>
      <c r="U138" s="24" t="s">
        <v>54</v>
      </c>
      <c r="V138" s="20" t="s">
        <v>55</v>
      </c>
      <c r="W138" s="20" t="s">
        <v>658</v>
      </c>
      <c r="X138" s="20" t="s">
        <v>659</v>
      </c>
      <c r="Y138" s="20" t="s">
        <v>638</v>
      </c>
      <c r="Z138" s="20" t="s">
        <v>653</v>
      </c>
      <c r="AA138" s="20" t="s">
        <v>654</v>
      </c>
      <c r="AB138" s="20" t="s">
        <v>66</v>
      </c>
      <c r="AC138" s="20" t="s">
        <v>67</v>
      </c>
    </row>
    <row r="139" s="5" customFormat="1" ht="54" customHeight="1" spans="1:29">
      <c r="A139" s="20">
        <v>133</v>
      </c>
      <c r="B139" s="20" t="s">
        <v>660</v>
      </c>
      <c r="C139" s="20" t="s">
        <v>661</v>
      </c>
      <c r="D139" s="20" t="s">
        <v>662</v>
      </c>
      <c r="E139" s="22">
        <f t="shared" si="150"/>
        <v>11.3</v>
      </c>
      <c r="F139" s="37">
        <v>0</v>
      </c>
      <c r="G139" s="37">
        <v>0</v>
      </c>
      <c r="H139" s="37">
        <v>11.3</v>
      </c>
      <c r="I139" s="37">
        <v>0</v>
      </c>
      <c r="J139" s="23">
        <f>K139+L139+M139+N139</f>
        <v>11.2604</v>
      </c>
      <c r="K139" s="37">
        <v>0</v>
      </c>
      <c r="L139" s="37">
        <v>0</v>
      </c>
      <c r="M139" s="37">
        <v>11.2604</v>
      </c>
      <c r="N139" s="37">
        <v>0</v>
      </c>
      <c r="O139" s="23">
        <f>P139+Q139+R139+S139</f>
        <v>0.0396000000000001</v>
      </c>
      <c r="P139" s="23">
        <f t="shared" ref="P139:S139" si="152">F139-K139</f>
        <v>0</v>
      </c>
      <c r="Q139" s="23">
        <f t="shared" si="152"/>
        <v>0</v>
      </c>
      <c r="R139" s="23">
        <f t="shared" si="152"/>
        <v>0.0396000000000001</v>
      </c>
      <c r="S139" s="23">
        <f t="shared" si="152"/>
        <v>0</v>
      </c>
      <c r="T139" s="24" t="s">
        <v>28</v>
      </c>
      <c r="U139" s="24" t="s">
        <v>54</v>
      </c>
      <c r="V139" s="20" t="s">
        <v>55</v>
      </c>
      <c r="W139" s="20" t="s">
        <v>658</v>
      </c>
      <c r="X139" s="20" t="s">
        <v>659</v>
      </c>
      <c r="Y139" s="20" t="s">
        <v>638</v>
      </c>
      <c r="Z139" s="20" t="s">
        <v>653</v>
      </c>
      <c r="AA139" s="20" t="s">
        <v>654</v>
      </c>
      <c r="AB139" s="20" t="s">
        <v>66</v>
      </c>
      <c r="AC139" s="20" t="s">
        <v>67</v>
      </c>
    </row>
    <row r="140" s="5" customFormat="1" ht="139" customHeight="1" spans="1:29">
      <c r="A140" s="20">
        <v>134</v>
      </c>
      <c r="B140" s="20" t="s">
        <v>663</v>
      </c>
      <c r="C140" s="20" t="s">
        <v>664</v>
      </c>
      <c r="D140" s="20" t="s">
        <v>665</v>
      </c>
      <c r="E140" s="22">
        <f t="shared" si="150"/>
        <v>157.5</v>
      </c>
      <c r="F140" s="37">
        <v>0</v>
      </c>
      <c r="G140" s="37">
        <v>0</v>
      </c>
      <c r="H140" s="37">
        <v>157.5</v>
      </c>
      <c r="I140" s="37">
        <v>0</v>
      </c>
      <c r="J140" s="23">
        <v>218.94</v>
      </c>
      <c r="K140" s="37">
        <v>36.3575</v>
      </c>
      <c r="L140" s="37">
        <v>21.541593</v>
      </c>
      <c r="M140" s="37">
        <v>157.625</v>
      </c>
      <c r="N140" s="37">
        <v>3.415907</v>
      </c>
      <c r="O140" s="23">
        <v>-61.44</v>
      </c>
      <c r="P140" s="23">
        <v>-36.3575</v>
      </c>
      <c r="Q140" s="23">
        <v>-21.541593</v>
      </c>
      <c r="R140" s="23">
        <v>-0.125</v>
      </c>
      <c r="S140" s="23">
        <v>-3.415907</v>
      </c>
      <c r="T140" s="24" t="s">
        <v>28</v>
      </c>
      <c r="U140" s="20" t="s">
        <v>29</v>
      </c>
      <c r="V140" s="20" t="s">
        <v>30</v>
      </c>
      <c r="W140" s="20" t="s">
        <v>40</v>
      </c>
      <c r="X140" s="20" t="s">
        <v>666</v>
      </c>
      <c r="Y140" s="20" t="s">
        <v>667</v>
      </c>
      <c r="Z140" s="20" t="s">
        <v>668</v>
      </c>
      <c r="AA140" s="20" t="s">
        <v>654</v>
      </c>
      <c r="AB140" s="20"/>
      <c r="AC140" s="20"/>
    </row>
    <row r="141" s="5" customFormat="1" ht="79" customHeight="1" spans="1:29">
      <c r="A141" s="20">
        <v>135</v>
      </c>
      <c r="B141" s="20" t="s">
        <v>669</v>
      </c>
      <c r="C141" s="20" t="s">
        <v>116</v>
      </c>
      <c r="D141" s="20" t="s">
        <v>670</v>
      </c>
      <c r="E141" s="22">
        <f t="shared" si="150"/>
        <v>38</v>
      </c>
      <c r="F141" s="41">
        <v>0</v>
      </c>
      <c r="G141" s="41">
        <v>0</v>
      </c>
      <c r="H141" s="41">
        <v>38</v>
      </c>
      <c r="I141" s="41">
        <v>0</v>
      </c>
      <c r="J141" s="31">
        <f>K141+L141+M141+N141</f>
        <v>37.98348</v>
      </c>
      <c r="K141" s="45">
        <v>0</v>
      </c>
      <c r="L141" s="41">
        <v>0</v>
      </c>
      <c r="M141" s="41">
        <v>37.98348</v>
      </c>
      <c r="N141" s="41">
        <v>0</v>
      </c>
      <c r="O141" s="22">
        <f>P141+Q141+R141+S141</f>
        <v>0.0165199999999999</v>
      </c>
      <c r="P141" s="22">
        <f t="shared" ref="P141:S141" si="153">F141-K141</f>
        <v>0</v>
      </c>
      <c r="Q141" s="22">
        <f t="shared" si="153"/>
        <v>0</v>
      </c>
      <c r="R141" s="22">
        <f t="shared" si="153"/>
        <v>0.0165199999999999</v>
      </c>
      <c r="S141" s="22">
        <f t="shared" si="153"/>
        <v>0</v>
      </c>
      <c r="T141" s="21" t="s">
        <v>28</v>
      </c>
      <c r="U141" s="21" t="s">
        <v>118</v>
      </c>
      <c r="V141" s="20" t="s">
        <v>119</v>
      </c>
      <c r="W141" s="20" t="s">
        <v>671</v>
      </c>
      <c r="X141" s="20" t="s">
        <v>121</v>
      </c>
      <c r="Y141" s="20" t="s">
        <v>672</v>
      </c>
      <c r="Z141" s="20" t="s">
        <v>673</v>
      </c>
      <c r="AA141" s="20" t="s">
        <v>674</v>
      </c>
      <c r="AB141" s="20" t="s">
        <v>66</v>
      </c>
      <c r="AC141" s="20" t="s">
        <v>67</v>
      </c>
    </row>
    <row r="142" s="5" customFormat="1" ht="57" customHeight="1" spans="1:29">
      <c r="A142" s="20">
        <v>136</v>
      </c>
      <c r="B142" s="20" t="s">
        <v>675</v>
      </c>
      <c r="C142" s="20" t="s">
        <v>676</v>
      </c>
      <c r="D142" s="20" t="s">
        <v>677</v>
      </c>
      <c r="E142" s="22">
        <f t="shared" si="150"/>
        <v>85</v>
      </c>
      <c r="F142" s="41">
        <v>0</v>
      </c>
      <c r="G142" s="41">
        <v>0</v>
      </c>
      <c r="H142" s="41">
        <v>85</v>
      </c>
      <c r="I142" s="41">
        <v>0</v>
      </c>
      <c r="J142" s="31">
        <f t="shared" ref="J141:J149" si="154">K142+L142+M142+N142</f>
        <v>84.85</v>
      </c>
      <c r="K142" s="45">
        <v>0</v>
      </c>
      <c r="L142" s="41">
        <v>0</v>
      </c>
      <c r="M142" s="41">
        <v>84.85</v>
      </c>
      <c r="N142" s="41">
        <v>0</v>
      </c>
      <c r="O142" s="22">
        <f t="shared" ref="O141:O149" si="155">P142+Q142+R142+S142</f>
        <v>0.150000000000006</v>
      </c>
      <c r="P142" s="22">
        <f t="shared" ref="P142:S142" si="156">F142-K142</f>
        <v>0</v>
      </c>
      <c r="Q142" s="22">
        <f t="shared" si="156"/>
        <v>0</v>
      </c>
      <c r="R142" s="22">
        <f t="shared" si="156"/>
        <v>0.150000000000006</v>
      </c>
      <c r="S142" s="22">
        <f t="shared" si="156"/>
        <v>0</v>
      </c>
      <c r="T142" s="21" t="s">
        <v>28</v>
      </c>
      <c r="U142" s="21" t="s">
        <v>678</v>
      </c>
      <c r="V142" s="20" t="s">
        <v>679</v>
      </c>
      <c r="W142" s="20" t="s">
        <v>680</v>
      </c>
      <c r="X142" s="20" t="s">
        <v>681</v>
      </c>
      <c r="Y142" s="20" t="s">
        <v>682</v>
      </c>
      <c r="Z142" s="20" t="s">
        <v>683</v>
      </c>
      <c r="AA142" s="20" t="s">
        <v>684</v>
      </c>
      <c r="AB142" s="20" t="s">
        <v>685</v>
      </c>
      <c r="AC142" s="20" t="s">
        <v>686</v>
      </c>
    </row>
    <row r="143" s="5" customFormat="1" ht="91" customHeight="1" spans="1:29">
      <c r="A143" s="20">
        <v>137</v>
      </c>
      <c r="B143" s="20" t="s">
        <v>687</v>
      </c>
      <c r="C143" s="20" t="s">
        <v>306</v>
      </c>
      <c r="D143" s="20" t="s">
        <v>688</v>
      </c>
      <c r="E143" s="22">
        <f t="shared" si="150"/>
        <v>72</v>
      </c>
      <c r="F143" s="41">
        <v>0</v>
      </c>
      <c r="G143" s="41">
        <v>0</v>
      </c>
      <c r="H143" s="41">
        <v>72</v>
      </c>
      <c r="I143" s="41">
        <v>0</v>
      </c>
      <c r="J143" s="31">
        <f t="shared" si="154"/>
        <v>71.78</v>
      </c>
      <c r="K143" s="45">
        <v>0</v>
      </c>
      <c r="L143" s="41">
        <v>0</v>
      </c>
      <c r="M143" s="41">
        <v>71.78</v>
      </c>
      <c r="N143" s="41">
        <v>0</v>
      </c>
      <c r="O143" s="22">
        <f t="shared" si="155"/>
        <v>0.219999999999999</v>
      </c>
      <c r="P143" s="22">
        <f t="shared" ref="P143:S143" si="157">F143-K143</f>
        <v>0</v>
      </c>
      <c r="Q143" s="22">
        <f t="shared" si="157"/>
        <v>0</v>
      </c>
      <c r="R143" s="22">
        <f t="shared" si="157"/>
        <v>0.219999999999999</v>
      </c>
      <c r="S143" s="22">
        <f t="shared" si="157"/>
        <v>0</v>
      </c>
      <c r="T143" s="24" t="s">
        <v>90</v>
      </c>
      <c r="U143" s="21" t="s">
        <v>606</v>
      </c>
      <c r="V143" s="20" t="s">
        <v>607</v>
      </c>
      <c r="W143" s="20" t="s">
        <v>689</v>
      </c>
      <c r="X143" s="20" t="s">
        <v>690</v>
      </c>
      <c r="Y143" s="20" t="s">
        <v>691</v>
      </c>
      <c r="Z143" s="20" t="s">
        <v>683</v>
      </c>
      <c r="AA143" s="20" t="s">
        <v>684</v>
      </c>
      <c r="AB143" s="21" t="s">
        <v>612</v>
      </c>
      <c r="AC143" s="21" t="s">
        <v>613</v>
      </c>
    </row>
    <row r="144" s="5" customFormat="1" ht="67" customHeight="1" spans="1:29">
      <c r="A144" s="20">
        <v>138</v>
      </c>
      <c r="B144" s="20" t="s">
        <v>692</v>
      </c>
      <c r="C144" s="20" t="s">
        <v>693</v>
      </c>
      <c r="D144" s="20" t="s">
        <v>694</v>
      </c>
      <c r="E144" s="22">
        <f t="shared" si="150"/>
        <v>119.9</v>
      </c>
      <c r="F144" s="41">
        <v>0</v>
      </c>
      <c r="G144" s="41">
        <v>0</v>
      </c>
      <c r="H144" s="41">
        <v>119.9</v>
      </c>
      <c r="I144" s="41">
        <v>0</v>
      </c>
      <c r="J144" s="22">
        <f t="shared" si="154"/>
        <v>119.5</v>
      </c>
      <c r="K144" s="41">
        <v>0</v>
      </c>
      <c r="L144" s="41">
        <v>0</v>
      </c>
      <c r="M144" s="41">
        <v>119.5</v>
      </c>
      <c r="N144" s="41">
        <v>0</v>
      </c>
      <c r="O144" s="22">
        <f t="shared" si="155"/>
        <v>0.400000000000006</v>
      </c>
      <c r="P144" s="22">
        <f t="shared" ref="P144:S144" si="158">F144-K144</f>
        <v>0</v>
      </c>
      <c r="Q144" s="22">
        <f t="shared" si="158"/>
        <v>0</v>
      </c>
      <c r="R144" s="22">
        <f t="shared" si="158"/>
        <v>0.400000000000006</v>
      </c>
      <c r="S144" s="22">
        <f t="shared" si="158"/>
        <v>0</v>
      </c>
      <c r="T144" s="24" t="s">
        <v>28</v>
      </c>
      <c r="U144" s="21" t="s">
        <v>91</v>
      </c>
      <c r="V144" s="20" t="s">
        <v>92</v>
      </c>
      <c r="W144" s="20"/>
      <c r="X144" s="20"/>
      <c r="Y144" s="20" t="s">
        <v>691</v>
      </c>
      <c r="Z144" s="20" t="s">
        <v>695</v>
      </c>
      <c r="AA144" s="20" t="s">
        <v>696</v>
      </c>
      <c r="AB144" s="20"/>
      <c r="AC144" s="20"/>
    </row>
    <row r="145" s="5" customFormat="1" ht="67.5" spans="1:29">
      <c r="A145" s="20">
        <v>139</v>
      </c>
      <c r="B145" s="20" t="s">
        <v>697</v>
      </c>
      <c r="C145" s="20" t="s">
        <v>698</v>
      </c>
      <c r="D145" s="20" t="s">
        <v>699</v>
      </c>
      <c r="E145" s="22">
        <f t="shared" si="150"/>
        <v>32.1</v>
      </c>
      <c r="F145" s="37">
        <v>0</v>
      </c>
      <c r="G145" s="37">
        <v>0</v>
      </c>
      <c r="H145" s="37">
        <v>32.1</v>
      </c>
      <c r="I145" s="37">
        <v>0</v>
      </c>
      <c r="J145" s="23">
        <f t="shared" si="154"/>
        <v>32.08</v>
      </c>
      <c r="K145" s="37">
        <v>0</v>
      </c>
      <c r="L145" s="37">
        <v>0</v>
      </c>
      <c r="M145" s="37">
        <v>32.08</v>
      </c>
      <c r="N145" s="37">
        <v>0</v>
      </c>
      <c r="O145" s="23">
        <f t="shared" si="155"/>
        <v>0.0200000000000031</v>
      </c>
      <c r="P145" s="23">
        <f t="shared" ref="P145:S145" si="159">F145-K145</f>
        <v>0</v>
      </c>
      <c r="Q145" s="23">
        <f t="shared" si="159"/>
        <v>0</v>
      </c>
      <c r="R145" s="23">
        <f t="shared" si="159"/>
        <v>0.0200000000000031</v>
      </c>
      <c r="S145" s="23">
        <f t="shared" si="159"/>
        <v>0</v>
      </c>
      <c r="T145" s="24" t="s">
        <v>90</v>
      </c>
      <c r="U145" s="21" t="s">
        <v>29</v>
      </c>
      <c r="V145" s="20" t="s">
        <v>30</v>
      </c>
      <c r="W145" s="20" t="s">
        <v>700</v>
      </c>
      <c r="X145" s="20" t="s">
        <v>627</v>
      </c>
      <c r="Y145" s="20" t="s">
        <v>701</v>
      </c>
      <c r="Z145" s="20" t="s">
        <v>695</v>
      </c>
      <c r="AA145" s="20" t="s">
        <v>696</v>
      </c>
      <c r="AB145" s="20"/>
      <c r="AC145" s="20"/>
    </row>
    <row r="146" s="5" customFormat="1" ht="81" spans="1:29">
      <c r="A146" s="20">
        <v>140</v>
      </c>
      <c r="B146" s="20" t="s">
        <v>702</v>
      </c>
      <c r="C146" s="20" t="s">
        <v>331</v>
      </c>
      <c r="D146" s="20" t="s">
        <v>703</v>
      </c>
      <c r="E146" s="22">
        <f t="shared" si="150"/>
        <v>48</v>
      </c>
      <c r="F146" s="37">
        <v>0</v>
      </c>
      <c r="G146" s="37">
        <v>0</v>
      </c>
      <c r="H146" s="37">
        <v>48</v>
      </c>
      <c r="I146" s="37">
        <v>0</v>
      </c>
      <c r="J146" s="22">
        <f t="shared" si="154"/>
        <v>48</v>
      </c>
      <c r="K146" s="41">
        <v>0</v>
      </c>
      <c r="L146" s="41">
        <v>0</v>
      </c>
      <c r="M146" s="41">
        <v>48</v>
      </c>
      <c r="N146" s="41">
        <v>0</v>
      </c>
      <c r="O146" s="22">
        <f t="shared" si="155"/>
        <v>0</v>
      </c>
      <c r="P146" s="22">
        <f t="shared" ref="P146:S146" si="160">F146-K146</f>
        <v>0</v>
      </c>
      <c r="Q146" s="22">
        <f t="shared" si="160"/>
        <v>0</v>
      </c>
      <c r="R146" s="22">
        <f t="shared" si="160"/>
        <v>0</v>
      </c>
      <c r="S146" s="22">
        <f t="shared" si="160"/>
        <v>0</v>
      </c>
      <c r="T146" s="24" t="s">
        <v>90</v>
      </c>
      <c r="U146" s="21" t="s">
        <v>29</v>
      </c>
      <c r="V146" s="20" t="s">
        <v>30</v>
      </c>
      <c r="W146" s="20" t="s">
        <v>704</v>
      </c>
      <c r="X146" s="20" t="s">
        <v>705</v>
      </c>
      <c r="Y146" s="20" t="s">
        <v>691</v>
      </c>
      <c r="Z146" s="20" t="s">
        <v>695</v>
      </c>
      <c r="AA146" s="20" t="s">
        <v>696</v>
      </c>
      <c r="AB146" s="20" t="s">
        <v>95</v>
      </c>
      <c r="AC146" s="20" t="s">
        <v>96</v>
      </c>
    </row>
    <row r="147" s="5" customFormat="1" ht="78" customHeight="1" spans="1:29">
      <c r="A147" s="20">
        <v>141</v>
      </c>
      <c r="B147" s="20" t="s">
        <v>706</v>
      </c>
      <c r="C147" s="20" t="s">
        <v>331</v>
      </c>
      <c r="D147" s="20" t="s">
        <v>707</v>
      </c>
      <c r="E147" s="22">
        <f t="shared" si="150"/>
        <v>0</v>
      </c>
      <c r="F147" s="41">
        <v>0</v>
      </c>
      <c r="G147" s="41">
        <v>0</v>
      </c>
      <c r="H147" s="41">
        <v>0</v>
      </c>
      <c r="I147" s="41">
        <v>0</v>
      </c>
      <c r="J147" s="22">
        <f t="shared" si="154"/>
        <v>23.856</v>
      </c>
      <c r="K147" s="41">
        <f>4.4165+0.916803+0.045+2</f>
        <v>7.378303</v>
      </c>
      <c r="L147" s="41">
        <f>1.450371+0.073236+0.0225+0.363183+14.518407+0.05</f>
        <v>16.477697</v>
      </c>
      <c r="M147" s="41">
        <v>0</v>
      </c>
      <c r="N147" s="41">
        <v>0</v>
      </c>
      <c r="O147" s="22">
        <f t="shared" si="155"/>
        <v>-23.856</v>
      </c>
      <c r="P147" s="22">
        <f t="shared" ref="P147:S147" si="161">F147-K147</f>
        <v>-7.378303</v>
      </c>
      <c r="Q147" s="22">
        <f t="shared" si="161"/>
        <v>-16.477697</v>
      </c>
      <c r="R147" s="22">
        <f t="shared" si="161"/>
        <v>0</v>
      </c>
      <c r="S147" s="22">
        <f t="shared" si="161"/>
        <v>0</v>
      </c>
      <c r="T147" s="21" t="s">
        <v>28</v>
      </c>
      <c r="U147" s="21" t="s">
        <v>29</v>
      </c>
      <c r="V147" s="20" t="s">
        <v>30</v>
      </c>
      <c r="W147" s="20" t="s">
        <v>708</v>
      </c>
      <c r="X147" s="20" t="s">
        <v>705</v>
      </c>
      <c r="Y147" s="20" t="s">
        <v>709</v>
      </c>
      <c r="Z147" s="20" t="s">
        <v>710</v>
      </c>
      <c r="AA147" s="24" t="s">
        <v>493</v>
      </c>
      <c r="AB147" s="20" t="s">
        <v>95</v>
      </c>
      <c r="AC147" s="20" t="s">
        <v>96</v>
      </c>
    </row>
    <row r="148" s="5" customFormat="1" ht="78" customHeight="1" spans="1:29">
      <c r="A148" s="20">
        <v>142</v>
      </c>
      <c r="B148" s="20" t="s">
        <v>201</v>
      </c>
      <c r="C148" s="20" t="s">
        <v>711</v>
      </c>
      <c r="D148" s="20" t="s">
        <v>712</v>
      </c>
      <c r="E148" s="22">
        <f t="shared" si="150"/>
        <v>0</v>
      </c>
      <c r="F148" s="41">
        <v>0</v>
      </c>
      <c r="G148" s="41">
        <v>0</v>
      </c>
      <c r="H148" s="41">
        <v>0</v>
      </c>
      <c r="I148" s="41">
        <v>0</v>
      </c>
      <c r="J148" s="22">
        <f t="shared" si="154"/>
        <v>10.8065</v>
      </c>
      <c r="K148" s="41">
        <v>0</v>
      </c>
      <c r="L148" s="41">
        <v>10.8065</v>
      </c>
      <c r="M148" s="41">
        <v>0</v>
      </c>
      <c r="N148" s="41">
        <v>0</v>
      </c>
      <c r="O148" s="22">
        <f t="shared" si="155"/>
        <v>-10.8065</v>
      </c>
      <c r="P148" s="22">
        <f t="shared" ref="P148:S148" si="162">F148-K148</f>
        <v>0</v>
      </c>
      <c r="Q148" s="22">
        <f t="shared" si="162"/>
        <v>-10.8065</v>
      </c>
      <c r="R148" s="22">
        <f t="shared" si="162"/>
        <v>0</v>
      </c>
      <c r="S148" s="22">
        <f t="shared" si="162"/>
        <v>0</v>
      </c>
      <c r="T148" s="21" t="s">
        <v>28</v>
      </c>
      <c r="U148" s="21" t="s">
        <v>185</v>
      </c>
      <c r="V148" s="20" t="s">
        <v>186</v>
      </c>
      <c r="W148" s="20" t="s">
        <v>713</v>
      </c>
      <c r="X148" s="20" t="s">
        <v>714</v>
      </c>
      <c r="Y148" s="20" t="s">
        <v>715</v>
      </c>
      <c r="Z148" s="20" t="s">
        <v>492</v>
      </c>
      <c r="AA148" s="20" t="s">
        <v>716</v>
      </c>
      <c r="AB148" s="20" t="s">
        <v>717</v>
      </c>
      <c r="AC148" s="24" t="s">
        <v>207</v>
      </c>
    </row>
    <row r="149" s="5" customFormat="1" ht="78" customHeight="1" spans="1:29">
      <c r="A149" s="20">
        <v>143</v>
      </c>
      <c r="B149" s="20" t="s">
        <v>718</v>
      </c>
      <c r="C149" s="20" t="s">
        <v>719</v>
      </c>
      <c r="D149" s="20" t="s">
        <v>720</v>
      </c>
      <c r="E149" s="22">
        <f t="shared" si="150"/>
        <v>0</v>
      </c>
      <c r="F149" s="41">
        <v>0</v>
      </c>
      <c r="G149" s="41">
        <v>0</v>
      </c>
      <c r="H149" s="41">
        <v>0</v>
      </c>
      <c r="I149" s="41">
        <v>0</v>
      </c>
      <c r="J149" s="22">
        <f t="shared" si="154"/>
        <v>9.503</v>
      </c>
      <c r="K149" s="41">
        <v>3.1822</v>
      </c>
      <c r="L149" s="41">
        <v>6.3208</v>
      </c>
      <c r="M149" s="41">
        <v>0</v>
      </c>
      <c r="N149" s="41">
        <v>0</v>
      </c>
      <c r="O149" s="22">
        <f t="shared" si="155"/>
        <v>-9.503</v>
      </c>
      <c r="P149" s="22">
        <f t="shared" ref="P149:S149" si="163">F149-K149</f>
        <v>-3.1822</v>
      </c>
      <c r="Q149" s="22">
        <f t="shared" si="163"/>
        <v>-6.3208</v>
      </c>
      <c r="R149" s="22">
        <f t="shared" si="163"/>
        <v>0</v>
      </c>
      <c r="S149" s="22">
        <f t="shared" si="163"/>
        <v>0</v>
      </c>
      <c r="T149" s="21" t="s">
        <v>28</v>
      </c>
      <c r="U149" s="21" t="s">
        <v>185</v>
      </c>
      <c r="V149" s="20" t="s">
        <v>186</v>
      </c>
      <c r="W149" s="20">
        <v>2023.11</v>
      </c>
      <c r="X149" s="20" t="s">
        <v>218</v>
      </c>
      <c r="Y149" s="20" t="s">
        <v>715</v>
      </c>
      <c r="Z149" s="20" t="s">
        <v>492</v>
      </c>
      <c r="AA149" s="20" t="s">
        <v>721</v>
      </c>
      <c r="AB149" s="20" t="s">
        <v>722</v>
      </c>
      <c r="AC149" s="20" t="s">
        <v>214</v>
      </c>
    </row>
    <row r="150" s="5" customFormat="1" ht="74" customHeight="1" spans="1:29">
      <c r="A150" s="20">
        <v>144</v>
      </c>
      <c r="B150" s="20" t="s">
        <v>723</v>
      </c>
      <c r="C150" s="20" t="s">
        <v>26</v>
      </c>
      <c r="D150" s="44" t="s">
        <v>724</v>
      </c>
      <c r="E150" s="22">
        <v>0</v>
      </c>
      <c r="F150" s="41">
        <v>0</v>
      </c>
      <c r="G150" s="41">
        <v>0</v>
      </c>
      <c r="H150" s="41">
        <v>0</v>
      </c>
      <c r="I150" s="41">
        <v>0</v>
      </c>
      <c r="J150" s="22">
        <v>101.86993</v>
      </c>
      <c r="K150" s="41">
        <v>0</v>
      </c>
      <c r="L150" s="41">
        <v>0</v>
      </c>
      <c r="M150" s="41">
        <v>0</v>
      </c>
      <c r="N150" s="41">
        <v>101.86993</v>
      </c>
      <c r="O150" s="22">
        <v>-101.86993</v>
      </c>
      <c r="P150" s="22">
        <v>0</v>
      </c>
      <c r="Q150" s="22">
        <v>0</v>
      </c>
      <c r="R150" s="22">
        <v>0</v>
      </c>
      <c r="S150" s="22">
        <v>-101.86993</v>
      </c>
      <c r="T150" s="21" t="s">
        <v>28</v>
      </c>
      <c r="U150" s="21" t="s">
        <v>29</v>
      </c>
      <c r="V150" s="20" t="s">
        <v>30</v>
      </c>
      <c r="W150" s="20" t="s">
        <v>725</v>
      </c>
      <c r="X150" s="20"/>
      <c r="Y150" s="20" t="s">
        <v>726</v>
      </c>
      <c r="Z150" s="20" t="s">
        <v>727</v>
      </c>
      <c r="AA150" s="46" t="s">
        <v>728</v>
      </c>
      <c r="AB150" s="20" t="s">
        <v>729</v>
      </c>
      <c r="AC150" s="20" t="s">
        <v>730</v>
      </c>
    </row>
    <row r="151" s="5" customFormat="1" ht="78" customHeight="1" spans="1:29">
      <c r="A151" s="20">
        <v>145</v>
      </c>
      <c r="B151" s="20" t="s">
        <v>731</v>
      </c>
      <c r="C151" s="20" t="s">
        <v>732</v>
      </c>
      <c r="D151" s="20" t="s">
        <v>733</v>
      </c>
      <c r="E151" s="22">
        <v>0</v>
      </c>
      <c r="F151" s="41">
        <v>0</v>
      </c>
      <c r="G151" s="41">
        <v>0</v>
      </c>
      <c r="H151" s="41">
        <v>0</v>
      </c>
      <c r="I151" s="41">
        <v>0</v>
      </c>
      <c r="J151" s="22">
        <v>17.6</v>
      </c>
      <c r="K151" s="41">
        <v>0</v>
      </c>
      <c r="L151" s="41">
        <v>0</v>
      </c>
      <c r="M151" s="41">
        <v>0</v>
      </c>
      <c r="N151" s="41">
        <v>17.6</v>
      </c>
      <c r="O151" s="22">
        <v>-17.6</v>
      </c>
      <c r="P151" s="22">
        <v>0</v>
      </c>
      <c r="Q151" s="22">
        <v>0</v>
      </c>
      <c r="R151" s="22">
        <v>0</v>
      </c>
      <c r="S151" s="22">
        <v>-17.6</v>
      </c>
      <c r="T151" s="24" t="s">
        <v>90</v>
      </c>
      <c r="U151" s="21" t="s">
        <v>29</v>
      </c>
      <c r="V151" s="20" t="s">
        <v>30</v>
      </c>
      <c r="W151" s="20" t="s">
        <v>734</v>
      </c>
      <c r="X151" s="20" t="s">
        <v>735</v>
      </c>
      <c r="Y151" s="20" t="s">
        <v>736</v>
      </c>
      <c r="Z151" s="20" t="s">
        <v>737</v>
      </c>
      <c r="AA151" s="46" t="s">
        <v>738</v>
      </c>
      <c r="AB151" s="20" t="s">
        <v>388</v>
      </c>
      <c r="AC151" s="20" t="s">
        <v>389</v>
      </c>
    </row>
    <row r="152" s="5" customFormat="1" ht="104" customHeight="1" spans="1:29">
      <c r="A152" s="20">
        <v>146</v>
      </c>
      <c r="B152" s="20" t="s">
        <v>739</v>
      </c>
      <c r="C152" s="20" t="s">
        <v>740</v>
      </c>
      <c r="D152" s="20" t="s">
        <v>741</v>
      </c>
      <c r="E152" s="22">
        <v>3.516332</v>
      </c>
      <c r="F152" s="41">
        <v>0</v>
      </c>
      <c r="G152" s="41">
        <v>0</v>
      </c>
      <c r="H152" s="41">
        <v>0</v>
      </c>
      <c r="I152" s="41">
        <v>3.516332</v>
      </c>
      <c r="J152" s="22">
        <v>29.9571</v>
      </c>
      <c r="K152" s="41">
        <v>0</v>
      </c>
      <c r="L152" s="41">
        <v>1.0315</v>
      </c>
      <c r="M152" s="41">
        <v>0</v>
      </c>
      <c r="N152" s="41">
        <v>28.9256</v>
      </c>
      <c r="O152" s="22">
        <v>-26.440768</v>
      </c>
      <c r="P152" s="22">
        <v>0</v>
      </c>
      <c r="Q152" s="22">
        <v>-1.0315</v>
      </c>
      <c r="R152" s="22">
        <v>0</v>
      </c>
      <c r="S152" s="22">
        <v>-25.409268</v>
      </c>
      <c r="T152" s="21" t="s">
        <v>28</v>
      </c>
      <c r="U152" s="21" t="s">
        <v>29</v>
      </c>
      <c r="V152" s="20" t="s">
        <v>30</v>
      </c>
      <c r="W152" s="20" t="s">
        <v>742</v>
      </c>
      <c r="X152" s="20" t="s">
        <v>743</v>
      </c>
      <c r="Y152" s="20" t="s">
        <v>715</v>
      </c>
      <c r="Z152" s="20" t="s">
        <v>744</v>
      </c>
      <c r="AA152" s="46" t="s">
        <v>745</v>
      </c>
      <c r="AB152" s="20" t="s">
        <v>388</v>
      </c>
      <c r="AC152" s="20" t="s">
        <v>389</v>
      </c>
    </row>
    <row r="153" s="5" customFormat="1" ht="78" customHeight="1" spans="1:29">
      <c r="A153" s="20">
        <v>147</v>
      </c>
      <c r="B153" s="20" t="s">
        <v>746</v>
      </c>
      <c r="C153" s="20" t="s">
        <v>371</v>
      </c>
      <c r="D153" s="20" t="s">
        <v>747</v>
      </c>
      <c r="E153" s="22">
        <v>0</v>
      </c>
      <c r="F153" s="41">
        <v>0</v>
      </c>
      <c r="G153" s="41">
        <v>0</v>
      </c>
      <c r="H153" s="41">
        <v>0</v>
      </c>
      <c r="I153" s="41">
        <v>0</v>
      </c>
      <c r="J153" s="22">
        <v>10</v>
      </c>
      <c r="K153" s="41">
        <v>0</v>
      </c>
      <c r="L153" s="41">
        <v>0</v>
      </c>
      <c r="M153" s="41">
        <v>0</v>
      </c>
      <c r="N153" s="41">
        <v>10</v>
      </c>
      <c r="O153" s="22">
        <v>-10</v>
      </c>
      <c r="P153" s="22">
        <v>0</v>
      </c>
      <c r="Q153" s="22">
        <v>0</v>
      </c>
      <c r="R153" s="22">
        <v>0</v>
      </c>
      <c r="S153" s="22">
        <v>-10</v>
      </c>
      <c r="T153" s="21" t="s">
        <v>28</v>
      </c>
      <c r="U153" s="21" t="s">
        <v>29</v>
      </c>
      <c r="V153" s="20" t="s">
        <v>30</v>
      </c>
      <c r="W153" s="20" t="s">
        <v>748</v>
      </c>
      <c r="X153" s="20" t="s">
        <v>749</v>
      </c>
      <c r="Y153" s="20" t="s">
        <v>715</v>
      </c>
      <c r="Z153" s="21" t="s">
        <v>326</v>
      </c>
      <c r="AA153" s="46" t="s">
        <v>738</v>
      </c>
      <c r="AB153" s="20" t="s">
        <v>388</v>
      </c>
      <c r="AC153" s="20" t="s">
        <v>389</v>
      </c>
    </row>
    <row r="154" s="5" customFormat="1" ht="175.5" spans="1:29">
      <c r="A154" s="20">
        <v>148</v>
      </c>
      <c r="B154" s="20" t="s">
        <v>750</v>
      </c>
      <c r="C154" s="20" t="s">
        <v>26</v>
      </c>
      <c r="D154" s="20" t="s">
        <v>751</v>
      </c>
      <c r="E154" s="22">
        <v>3.5</v>
      </c>
      <c r="F154" s="41">
        <v>0</v>
      </c>
      <c r="G154" s="41">
        <v>0</v>
      </c>
      <c r="H154" s="41">
        <v>0</v>
      </c>
      <c r="I154" s="41">
        <v>3.5</v>
      </c>
      <c r="J154" s="22">
        <v>97.4</v>
      </c>
      <c r="K154" s="41">
        <v>0</v>
      </c>
      <c r="L154" s="41">
        <v>0</v>
      </c>
      <c r="M154" s="41">
        <v>0</v>
      </c>
      <c r="N154" s="41">
        <v>97.4</v>
      </c>
      <c r="O154" s="22">
        <v>-93.9</v>
      </c>
      <c r="P154" s="22">
        <v>0</v>
      </c>
      <c r="Q154" s="22">
        <v>0</v>
      </c>
      <c r="R154" s="22">
        <v>0</v>
      </c>
      <c r="S154" s="22">
        <v>-93.9</v>
      </c>
      <c r="T154" s="21" t="s">
        <v>28</v>
      </c>
      <c r="U154" s="24" t="s">
        <v>29</v>
      </c>
      <c r="V154" s="20" t="s">
        <v>30</v>
      </c>
      <c r="W154" s="20" t="s">
        <v>752</v>
      </c>
      <c r="X154" s="20"/>
      <c r="Y154" s="20" t="s">
        <v>753</v>
      </c>
      <c r="Z154" s="21" t="s">
        <v>326</v>
      </c>
      <c r="AA154" s="46" t="s">
        <v>754</v>
      </c>
      <c r="AB154" s="20" t="s">
        <v>755</v>
      </c>
      <c r="AC154" s="20" t="s">
        <v>756</v>
      </c>
    </row>
    <row r="155" s="7" customFormat="1" ht="90" customHeight="1" spans="1:29">
      <c r="A155" s="20">
        <v>149</v>
      </c>
      <c r="B155" s="24" t="s">
        <v>757</v>
      </c>
      <c r="C155" s="24" t="s">
        <v>29</v>
      </c>
      <c r="D155" s="20" t="s">
        <v>758</v>
      </c>
      <c r="E155" s="22">
        <v>25.290199</v>
      </c>
      <c r="F155" s="41">
        <v>0</v>
      </c>
      <c r="G155" s="41">
        <v>13</v>
      </c>
      <c r="H155" s="41">
        <v>7</v>
      </c>
      <c r="I155" s="41">
        <v>5.290199</v>
      </c>
      <c r="J155" s="22">
        <v>34</v>
      </c>
      <c r="K155" s="41">
        <v>0</v>
      </c>
      <c r="L155" s="41">
        <v>17</v>
      </c>
      <c r="M155" s="41">
        <v>11.709801</v>
      </c>
      <c r="N155" s="41">
        <v>5.290199</v>
      </c>
      <c r="O155" s="22">
        <v>-8.709801</v>
      </c>
      <c r="P155" s="22">
        <v>0</v>
      </c>
      <c r="Q155" s="22">
        <v>-4</v>
      </c>
      <c r="R155" s="22">
        <v>-4.709801</v>
      </c>
      <c r="S155" s="22">
        <v>0</v>
      </c>
      <c r="T155" s="24" t="s">
        <v>759</v>
      </c>
      <c r="U155" s="24" t="s">
        <v>29</v>
      </c>
      <c r="V155" s="20" t="s">
        <v>30</v>
      </c>
      <c r="W155" s="20"/>
      <c r="X155" s="20"/>
      <c r="Y155" s="20"/>
      <c r="Z155" s="47" t="s">
        <v>760</v>
      </c>
      <c r="AA155" s="46"/>
      <c r="AB155" s="47" t="s">
        <v>761</v>
      </c>
      <c r="AC155" s="46"/>
    </row>
    <row r="156" s="7" customFormat="1" ht="59" customHeight="1" spans="1:29">
      <c r="A156" s="20">
        <v>150</v>
      </c>
      <c r="B156" s="24" t="s">
        <v>762</v>
      </c>
      <c r="C156" s="24" t="s">
        <v>54</v>
      </c>
      <c r="D156" s="20" t="s">
        <v>758</v>
      </c>
      <c r="E156" s="23">
        <f>F156+G156+H156+I156</f>
        <v>4.3</v>
      </c>
      <c r="F156" s="37">
        <v>0</v>
      </c>
      <c r="G156" s="37">
        <v>0</v>
      </c>
      <c r="H156" s="37">
        <v>0</v>
      </c>
      <c r="I156" s="37">
        <v>4.3</v>
      </c>
      <c r="J156" s="23">
        <f>K156+L156+M156+N156</f>
        <v>8.8</v>
      </c>
      <c r="K156" s="37">
        <v>0</v>
      </c>
      <c r="L156" s="37">
        <v>0</v>
      </c>
      <c r="M156" s="37">
        <v>0</v>
      </c>
      <c r="N156" s="37">
        <v>8.8</v>
      </c>
      <c r="O156" s="23">
        <f>P156+Q156+R156+S156</f>
        <v>-4.5</v>
      </c>
      <c r="P156" s="23">
        <f t="shared" ref="P156:S156" si="164">F156-K156</f>
        <v>0</v>
      </c>
      <c r="Q156" s="23">
        <f t="shared" si="164"/>
        <v>0</v>
      </c>
      <c r="R156" s="23">
        <f t="shared" si="164"/>
        <v>0</v>
      </c>
      <c r="S156" s="23">
        <f t="shared" si="164"/>
        <v>-4.5</v>
      </c>
      <c r="T156" s="24" t="s">
        <v>759</v>
      </c>
      <c r="U156" s="24" t="s">
        <v>54</v>
      </c>
      <c r="V156" s="24" t="s">
        <v>55</v>
      </c>
      <c r="W156" s="24"/>
      <c r="X156" s="24"/>
      <c r="Y156" s="20"/>
      <c r="Z156" s="34" t="s">
        <v>326</v>
      </c>
      <c r="AA156" s="24" t="s">
        <v>327</v>
      </c>
      <c r="AB156" s="21"/>
      <c r="AC156" s="21"/>
    </row>
    <row r="157" s="7" customFormat="1" ht="59" customHeight="1" spans="1:29">
      <c r="A157" s="20">
        <v>151</v>
      </c>
      <c r="B157" s="24" t="s">
        <v>762</v>
      </c>
      <c r="C157" s="24" t="s">
        <v>308</v>
      </c>
      <c r="D157" s="24" t="s">
        <v>758</v>
      </c>
      <c r="E157" s="22">
        <f>F157+G157+H157+I157</f>
        <v>6.5</v>
      </c>
      <c r="F157" s="41">
        <v>0</v>
      </c>
      <c r="G157" s="41">
        <v>0</v>
      </c>
      <c r="H157" s="41">
        <v>0</v>
      </c>
      <c r="I157" s="41">
        <v>6.5</v>
      </c>
      <c r="J157" s="22">
        <f>K157+L157+M157+N157</f>
        <v>6.5</v>
      </c>
      <c r="K157" s="41">
        <v>0</v>
      </c>
      <c r="L157" s="41">
        <v>0</v>
      </c>
      <c r="M157" s="41">
        <v>0</v>
      </c>
      <c r="N157" s="41">
        <v>6.5</v>
      </c>
      <c r="O157" s="22">
        <f>P157+Q157+R157+S157</f>
        <v>0</v>
      </c>
      <c r="P157" s="22">
        <f t="shared" ref="P157:S157" si="165">F157-K157</f>
        <v>0</v>
      </c>
      <c r="Q157" s="22">
        <f t="shared" si="165"/>
        <v>0</v>
      </c>
      <c r="R157" s="22">
        <f t="shared" si="165"/>
        <v>0</v>
      </c>
      <c r="S157" s="22">
        <f t="shared" si="165"/>
        <v>0</v>
      </c>
      <c r="T157" s="24" t="s">
        <v>759</v>
      </c>
      <c r="U157" s="24" t="s">
        <v>308</v>
      </c>
      <c r="V157" s="24" t="s">
        <v>309</v>
      </c>
      <c r="W157" s="24"/>
      <c r="X157" s="24"/>
      <c r="Y157" s="20"/>
      <c r="Z157" s="34" t="s">
        <v>326</v>
      </c>
      <c r="AA157" s="24" t="s">
        <v>327</v>
      </c>
      <c r="AB157" s="21"/>
      <c r="AC157" s="21"/>
    </row>
    <row r="158" s="7" customFormat="1" ht="81" spans="1:29">
      <c r="A158" s="20">
        <v>152</v>
      </c>
      <c r="B158" s="24" t="s">
        <v>763</v>
      </c>
      <c r="C158" s="24" t="s">
        <v>322</v>
      </c>
      <c r="D158" s="24" t="s">
        <v>758</v>
      </c>
      <c r="E158" s="22">
        <v>6.503469</v>
      </c>
      <c r="F158" s="41">
        <v>0</v>
      </c>
      <c r="G158" s="41">
        <v>0</v>
      </c>
      <c r="H158" s="41">
        <v>0</v>
      </c>
      <c r="I158" s="41">
        <v>6.503469</v>
      </c>
      <c r="J158" s="22">
        <v>6.54</v>
      </c>
      <c r="K158" s="41">
        <v>0</v>
      </c>
      <c r="L158" s="41">
        <v>0.036531</v>
      </c>
      <c r="M158" s="41">
        <v>0</v>
      </c>
      <c r="N158" s="41">
        <v>6.503469</v>
      </c>
      <c r="O158" s="22">
        <v>-0.036531</v>
      </c>
      <c r="P158" s="22">
        <v>0</v>
      </c>
      <c r="Q158" s="22">
        <v>-0.036531</v>
      </c>
      <c r="R158" s="22">
        <v>0</v>
      </c>
      <c r="S158" s="22">
        <v>0</v>
      </c>
      <c r="T158" s="24" t="s">
        <v>759</v>
      </c>
      <c r="U158" s="24" t="s">
        <v>322</v>
      </c>
      <c r="V158" s="24" t="s">
        <v>323</v>
      </c>
      <c r="W158" s="24"/>
      <c r="X158" s="24"/>
      <c r="Y158" s="20"/>
      <c r="Z158" s="34" t="s">
        <v>764</v>
      </c>
      <c r="AA158" s="24" t="s">
        <v>765</v>
      </c>
      <c r="AB158" s="21"/>
      <c r="AC158" s="21"/>
    </row>
    <row r="159" s="7" customFormat="1" ht="81" spans="1:29">
      <c r="A159" s="20">
        <v>153</v>
      </c>
      <c r="B159" s="24" t="s">
        <v>766</v>
      </c>
      <c r="C159" s="24" t="s">
        <v>425</v>
      </c>
      <c r="D159" s="24" t="s">
        <v>758</v>
      </c>
      <c r="E159" s="22">
        <v>4.8</v>
      </c>
      <c r="F159" s="41">
        <v>0</v>
      </c>
      <c r="G159" s="41">
        <v>0</v>
      </c>
      <c r="H159" s="41">
        <v>0</v>
      </c>
      <c r="I159" s="41">
        <v>4.8</v>
      </c>
      <c r="J159" s="22">
        <v>5.98</v>
      </c>
      <c r="K159" s="41">
        <v>0</v>
      </c>
      <c r="L159" s="41">
        <v>1.18</v>
      </c>
      <c r="M159" s="41">
        <v>0</v>
      </c>
      <c r="N159" s="41">
        <v>4.8</v>
      </c>
      <c r="O159" s="22">
        <v>-1.18</v>
      </c>
      <c r="P159" s="22">
        <v>0</v>
      </c>
      <c r="Q159" s="22">
        <v>-1.18</v>
      </c>
      <c r="R159" s="22">
        <v>0</v>
      </c>
      <c r="S159" s="22">
        <v>0</v>
      </c>
      <c r="T159" s="24" t="s">
        <v>759</v>
      </c>
      <c r="U159" s="21" t="s">
        <v>425</v>
      </c>
      <c r="V159" s="20" t="s">
        <v>426</v>
      </c>
      <c r="W159" s="20"/>
      <c r="X159" s="20"/>
      <c r="Y159" s="20"/>
      <c r="Z159" s="21" t="s">
        <v>767</v>
      </c>
      <c r="AA159" s="24" t="s">
        <v>768</v>
      </c>
      <c r="AB159" s="21"/>
      <c r="AC159" s="21"/>
    </row>
    <row r="160" s="7" customFormat="1" ht="59" customHeight="1" spans="1:29">
      <c r="A160" s="20">
        <v>154</v>
      </c>
      <c r="B160" s="24" t="s">
        <v>769</v>
      </c>
      <c r="C160" s="24" t="s">
        <v>678</v>
      </c>
      <c r="D160" s="24" t="s">
        <v>758</v>
      </c>
      <c r="E160" s="22">
        <f>F160+G160+H160+I160</f>
        <v>0.8</v>
      </c>
      <c r="F160" s="41">
        <v>0</v>
      </c>
      <c r="G160" s="41">
        <v>0</v>
      </c>
      <c r="H160" s="41">
        <v>0</v>
      </c>
      <c r="I160" s="41">
        <v>0.8</v>
      </c>
      <c r="J160" s="22">
        <f>K160+L160+M160+N160</f>
        <v>0.8</v>
      </c>
      <c r="K160" s="41">
        <v>0</v>
      </c>
      <c r="L160" s="41">
        <v>0</v>
      </c>
      <c r="M160" s="41">
        <v>0</v>
      </c>
      <c r="N160" s="41">
        <v>0.8</v>
      </c>
      <c r="O160" s="22">
        <f>P160+Q160+R160+S160</f>
        <v>0</v>
      </c>
      <c r="P160" s="22">
        <f t="shared" ref="P160:S160" si="166">F160-K160</f>
        <v>0</v>
      </c>
      <c r="Q160" s="22">
        <f t="shared" si="166"/>
        <v>0</v>
      </c>
      <c r="R160" s="22">
        <f t="shared" si="166"/>
        <v>0</v>
      </c>
      <c r="S160" s="22">
        <f t="shared" si="166"/>
        <v>0</v>
      </c>
      <c r="T160" s="24" t="s">
        <v>759</v>
      </c>
      <c r="U160" s="24" t="s">
        <v>678</v>
      </c>
      <c r="V160" s="20" t="s">
        <v>679</v>
      </c>
      <c r="W160" s="20"/>
      <c r="X160" s="20"/>
      <c r="Y160" s="20"/>
      <c r="Z160" s="21" t="s">
        <v>326</v>
      </c>
      <c r="AA160" s="24" t="s">
        <v>770</v>
      </c>
      <c r="AB160" s="21"/>
      <c r="AC160" s="21"/>
    </row>
    <row r="161" s="7" customFormat="1" ht="59" customHeight="1" spans="1:29">
      <c r="A161" s="20">
        <v>155</v>
      </c>
      <c r="B161" s="33" t="s">
        <v>771</v>
      </c>
      <c r="C161" s="33" t="s">
        <v>91</v>
      </c>
      <c r="D161" s="33" t="s">
        <v>758</v>
      </c>
      <c r="E161" s="22">
        <f>F161+G161+H161+I161</f>
        <v>8.1</v>
      </c>
      <c r="F161" s="41">
        <v>0</v>
      </c>
      <c r="G161" s="41">
        <v>0</v>
      </c>
      <c r="H161" s="41">
        <v>0</v>
      </c>
      <c r="I161" s="41">
        <v>8.1</v>
      </c>
      <c r="J161" s="22">
        <v>8.1</v>
      </c>
      <c r="K161" s="41">
        <v>0</v>
      </c>
      <c r="L161" s="41">
        <v>0</v>
      </c>
      <c r="M161" s="41">
        <v>0</v>
      </c>
      <c r="N161" s="41">
        <v>8.1</v>
      </c>
      <c r="O161" s="22">
        <f>P161+Q161+R161+S161</f>
        <v>0</v>
      </c>
      <c r="P161" s="22">
        <f t="shared" ref="P161:S161" si="167">F161-K161</f>
        <v>0</v>
      </c>
      <c r="Q161" s="22">
        <f t="shared" si="167"/>
        <v>0</v>
      </c>
      <c r="R161" s="22">
        <f t="shared" si="167"/>
        <v>0</v>
      </c>
      <c r="S161" s="22">
        <f t="shared" si="167"/>
        <v>0</v>
      </c>
      <c r="T161" s="24" t="s">
        <v>759</v>
      </c>
      <c r="U161" s="33" t="s">
        <v>91</v>
      </c>
      <c r="V161" s="20" t="s">
        <v>92</v>
      </c>
      <c r="W161" s="20"/>
      <c r="X161" s="20"/>
      <c r="Y161" s="20"/>
      <c r="Z161" s="21" t="s">
        <v>326</v>
      </c>
      <c r="AA161" s="24" t="s">
        <v>770</v>
      </c>
      <c r="AB161" s="21"/>
      <c r="AC161" s="21"/>
    </row>
    <row r="162" s="7" customFormat="1" ht="59" customHeight="1" spans="1:29">
      <c r="A162" s="20">
        <v>156</v>
      </c>
      <c r="B162" s="24" t="s">
        <v>772</v>
      </c>
      <c r="C162" s="24" t="s">
        <v>118</v>
      </c>
      <c r="D162" s="24" t="s">
        <v>758</v>
      </c>
      <c r="E162" s="22">
        <f>F162+G162+H162+I162</f>
        <v>0</v>
      </c>
      <c r="F162" s="41">
        <v>0</v>
      </c>
      <c r="G162" s="41">
        <v>0</v>
      </c>
      <c r="H162" s="41">
        <v>0</v>
      </c>
      <c r="I162" s="41">
        <v>0</v>
      </c>
      <c r="J162" s="41">
        <v>1.079103</v>
      </c>
      <c r="K162" s="41">
        <v>0</v>
      </c>
      <c r="L162" s="41">
        <v>0</v>
      </c>
      <c r="M162" s="41">
        <v>0</v>
      </c>
      <c r="N162" s="41">
        <v>1.079103</v>
      </c>
      <c r="O162" s="22">
        <f>P162+Q162+R162+S162</f>
        <v>-1.079103</v>
      </c>
      <c r="P162" s="22">
        <v>0</v>
      </c>
      <c r="Q162" s="22">
        <v>0</v>
      </c>
      <c r="R162" s="22">
        <v>0</v>
      </c>
      <c r="S162" s="22">
        <f>I162-N162</f>
        <v>-1.079103</v>
      </c>
      <c r="T162" s="24" t="s">
        <v>759</v>
      </c>
      <c r="U162" s="24" t="s">
        <v>118</v>
      </c>
      <c r="V162" s="20" t="s">
        <v>119</v>
      </c>
      <c r="W162" s="20"/>
      <c r="X162" s="20"/>
      <c r="Y162" s="20"/>
      <c r="Z162" s="21" t="s">
        <v>326</v>
      </c>
      <c r="AA162" s="24" t="s">
        <v>738</v>
      </c>
      <c r="AB162" s="21"/>
      <c r="AC162" s="21"/>
    </row>
    <row r="163" s="7" customFormat="1" ht="59" customHeight="1" spans="1:29">
      <c r="A163" s="20">
        <v>157</v>
      </c>
      <c r="B163" s="24" t="s">
        <v>773</v>
      </c>
      <c r="C163" s="24" t="s">
        <v>185</v>
      </c>
      <c r="D163" s="24" t="s">
        <v>758</v>
      </c>
      <c r="E163" s="22">
        <f>F163+G163+H163+I163</f>
        <v>0</v>
      </c>
      <c r="F163" s="41">
        <v>0</v>
      </c>
      <c r="G163" s="41">
        <v>0</v>
      </c>
      <c r="H163" s="41">
        <v>0</v>
      </c>
      <c r="I163" s="41">
        <v>0</v>
      </c>
      <c r="J163" s="22">
        <f>K163+L163+M163+N163</f>
        <v>3.68</v>
      </c>
      <c r="K163" s="41">
        <v>0</v>
      </c>
      <c r="L163" s="41">
        <v>0</v>
      </c>
      <c r="M163" s="41">
        <v>0</v>
      </c>
      <c r="N163" s="41">
        <v>3.68</v>
      </c>
      <c r="O163" s="22">
        <f>P163+Q163+R163+S163</f>
        <v>-3.68</v>
      </c>
      <c r="P163" s="22">
        <f t="shared" ref="P163:S163" si="168">F163-K163</f>
        <v>0</v>
      </c>
      <c r="Q163" s="22">
        <f t="shared" si="168"/>
        <v>0</v>
      </c>
      <c r="R163" s="22">
        <f t="shared" si="168"/>
        <v>0</v>
      </c>
      <c r="S163" s="22">
        <f t="shared" si="168"/>
        <v>-3.68</v>
      </c>
      <c r="T163" s="24" t="s">
        <v>759</v>
      </c>
      <c r="U163" s="33" t="s">
        <v>185</v>
      </c>
      <c r="V163" s="24" t="s">
        <v>186</v>
      </c>
      <c r="W163" s="20"/>
      <c r="X163" s="20"/>
      <c r="Y163" s="20"/>
      <c r="Z163" s="34" t="s">
        <v>162</v>
      </c>
      <c r="AA163" s="24" t="s">
        <v>163</v>
      </c>
      <c r="AB163" s="21"/>
      <c r="AC163" s="21"/>
    </row>
    <row r="164" s="7" customFormat="1" ht="59" customHeight="1" spans="1:29">
      <c r="A164" s="20">
        <v>158</v>
      </c>
      <c r="B164" s="24" t="s">
        <v>774</v>
      </c>
      <c r="C164" s="24" t="s">
        <v>606</v>
      </c>
      <c r="D164" s="24" t="s">
        <v>758</v>
      </c>
      <c r="E164" s="22">
        <f>F164+G164+H164+I164</f>
        <v>0</v>
      </c>
      <c r="F164" s="41">
        <v>0</v>
      </c>
      <c r="G164" s="41">
        <v>0</v>
      </c>
      <c r="H164" s="41">
        <v>0</v>
      </c>
      <c r="I164" s="41">
        <v>0</v>
      </c>
      <c r="J164" s="22">
        <f>K164+L164+M164+N164</f>
        <v>1.16</v>
      </c>
      <c r="K164" s="41">
        <v>0</v>
      </c>
      <c r="L164" s="41">
        <v>0</v>
      </c>
      <c r="M164" s="41">
        <v>0</v>
      </c>
      <c r="N164" s="41">
        <v>1.16</v>
      </c>
      <c r="O164" s="22">
        <f>P164+Q164+R164+S164</f>
        <v>-1.16</v>
      </c>
      <c r="P164" s="22">
        <f t="shared" ref="P164:S164" si="169">F164-K164</f>
        <v>0</v>
      </c>
      <c r="Q164" s="22">
        <f t="shared" si="169"/>
        <v>0</v>
      </c>
      <c r="R164" s="22">
        <f t="shared" si="169"/>
        <v>0</v>
      </c>
      <c r="S164" s="22">
        <f t="shared" si="169"/>
        <v>-1.16</v>
      </c>
      <c r="T164" s="24" t="s">
        <v>759</v>
      </c>
      <c r="U164" s="24" t="s">
        <v>606</v>
      </c>
      <c r="V164" s="20" t="s">
        <v>607</v>
      </c>
      <c r="W164" s="20"/>
      <c r="X164" s="20"/>
      <c r="Y164" s="20"/>
      <c r="Z164" s="21" t="s">
        <v>326</v>
      </c>
      <c r="AA164" s="24" t="s">
        <v>738</v>
      </c>
      <c r="AB164" s="21"/>
      <c r="AC164" s="21"/>
    </row>
  </sheetData>
  <autoFilter ref="A5:AC164">
    <extLst/>
  </autoFilter>
  <mergeCells count="33">
    <mergeCell ref="A1:AC1"/>
    <mergeCell ref="Z3:AA3"/>
    <mergeCell ref="Z155:AA155"/>
    <mergeCell ref="AB155:AC155"/>
    <mergeCell ref="A3:A5"/>
    <mergeCell ref="A86:A87"/>
    <mergeCell ref="B3:B5"/>
    <mergeCell ref="B86:B87"/>
    <mergeCell ref="C3:C5"/>
    <mergeCell ref="C86:C87"/>
    <mergeCell ref="D3:D5"/>
    <mergeCell ref="D86:D87"/>
    <mergeCell ref="T3:T5"/>
    <mergeCell ref="T86:T87"/>
    <mergeCell ref="U3:U5"/>
    <mergeCell ref="U86:U87"/>
    <mergeCell ref="V3:V5"/>
    <mergeCell ref="V86:V87"/>
    <mergeCell ref="W3:W5"/>
    <mergeCell ref="W86:W87"/>
    <mergeCell ref="X3:X5"/>
    <mergeCell ref="X86:X87"/>
    <mergeCell ref="Y3:Y5"/>
    <mergeCell ref="Y86:Y87"/>
    <mergeCell ref="Z4:Z5"/>
    <mergeCell ref="AA4:AA5"/>
    <mergeCell ref="AB3:AB5"/>
    <mergeCell ref="AB86:AB87"/>
    <mergeCell ref="AC3:AC5"/>
    <mergeCell ref="AC86:AC87"/>
    <mergeCell ref="E3:I4"/>
    <mergeCell ref="J3:N4"/>
    <mergeCell ref="O3:S4"/>
  </mergeCells>
  <dataValidations count="1">
    <dataValidation allowBlank="1" showInputMessage="1" showErrorMessage="1" sqref="AA4 AA5 AA6 AA1:AA2"/>
  </dataValidations>
  <pageMargins left="0.354166666666667" right="0.156944444444444" top="0.393055555555556" bottom="0.432638888888889" header="0.196527777777778" footer="0.196527777777778"/>
  <pageSetup paperSize="9" scale="38" fitToHeight="0" orientation="landscape" horizontalDpi="600"/>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9"/>
  <sheetViews>
    <sheetView workbookViewId="0">
      <selection activeCell="D9" sqref="D9"/>
    </sheetView>
  </sheetViews>
  <sheetFormatPr defaultColWidth="9" defaultRowHeight="13.5" outlineLevelCol="3"/>
  <cols>
    <col min="4" max="4" width="70.125" customWidth="1"/>
  </cols>
  <sheetData>
    <row r="9" ht="96" customHeight="1" spans="4:4">
      <c r="D9" s="1" t="s">
        <v>775</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2023年项目建设台账</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封沛森</cp:lastModifiedBy>
  <dcterms:created xsi:type="dcterms:W3CDTF">2018-11-06T02:56:00Z</dcterms:created>
  <dcterms:modified xsi:type="dcterms:W3CDTF">2024-01-10T08:29:40Z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E32DCA7DED914118815841742B3268EF</vt:lpwstr>
  </property>
</Properties>
</file>