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<sst xmlns="http://schemas.openxmlformats.org/spreadsheetml/2006/main" count="194" uniqueCount="105">
  <si>
    <t>7-1、市政基础设施建设工程  中心城区道路</t>
  </si>
  <si>
    <t>序号</t>
  </si>
  <si>
    <t>道路名称</t>
  </si>
  <si>
    <t>起止位置</t>
  </si>
  <si>
    <t>长度
(m)</t>
  </si>
  <si>
    <t>红线宽
(m)</t>
  </si>
  <si>
    <t>建设内容</t>
  </si>
  <si>
    <t>道路投资（万元）</t>
  </si>
  <si>
    <t>红线内绿化投资
（万元）</t>
  </si>
  <si>
    <t>总投资
（万元）</t>
  </si>
  <si>
    <t>2022年计划投资
（万元）</t>
  </si>
  <si>
    <t>资金
来源</t>
  </si>
  <si>
    <t>责任单位</t>
  </si>
  <si>
    <t>开工
时间</t>
  </si>
  <si>
    <t>竣工
时间</t>
  </si>
  <si>
    <t>2022年形象进度</t>
  </si>
  <si>
    <t>起</t>
  </si>
  <si>
    <t>止</t>
  </si>
  <si>
    <t>总  计</t>
  </si>
  <si>
    <t xml:space="preserve"> </t>
  </si>
  <si>
    <t>一</t>
  </si>
  <si>
    <t>续建项目</t>
  </si>
  <si>
    <t>光武路西延</t>
  </si>
  <si>
    <t>312国道</t>
  </si>
  <si>
    <t>麒麟路</t>
  </si>
  <si>
    <t>道路、排水、照明、绿化、桥梁、附属设施
注：前期手续完善后，施工待定</t>
  </si>
  <si>
    <t>市财政</t>
  </si>
  <si>
    <t>市住房和城乡建设局</t>
  </si>
  <si>
    <t>2022.1</t>
  </si>
  <si>
    <t>2022.10</t>
  </si>
  <si>
    <t>完成</t>
  </si>
  <si>
    <t>南都路</t>
  </si>
  <si>
    <t>杜诗路</t>
  </si>
  <si>
    <t>京宛大道</t>
  </si>
  <si>
    <t>道路、排水、照明、绿化、附属设施</t>
  </si>
  <si>
    <t>2022.04</t>
  </si>
  <si>
    <t>2022.7</t>
  </si>
  <si>
    <t>淯阳桥</t>
  </si>
  <si>
    <t>七一路</t>
  </si>
  <si>
    <t>长江路</t>
  </si>
  <si>
    <t>道路、桥梁</t>
  </si>
  <si>
    <t>2021.01</t>
  </si>
  <si>
    <t>2022.6</t>
  </si>
  <si>
    <t>原西环路</t>
  </si>
  <si>
    <t>中州路</t>
  </si>
  <si>
    <t>道路、排水、照明、绿化、桥梁、附属设施</t>
  </si>
  <si>
    <t>2021.12</t>
  </si>
  <si>
    <t>2022.08</t>
  </si>
  <si>
    <t>完工</t>
  </si>
  <si>
    <t>关帝庙路</t>
  </si>
  <si>
    <t>新东路</t>
  </si>
  <si>
    <t>医圣祠路</t>
  </si>
  <si>
    <t>2022.01</t>
  </si>
  <si>
    <t>滨河路</t>
  </si>
  <si>
    <t>工业路</t>
  </si>
  <si>
    <t>黄龙庙</t>
  </si>
  <si>
    <t>纬十一路</t>
  </si>
  <si>
    <t>二环路</t>
  </si>
  <si>
    <t>城南大道</t>
  </si>
  <si>
    <t>2021.6</t>
  </si>
  <si>
    <t>2022.06</t>
  </si>
  <si>
    <t>武侯变</t>
  </si>
  <si>
    <t>车站路</t>
  </si>
  <si>
    <t>强电</t>
  </si>
  <si>
    <t>2022.03</t>
  </si>
  <si>
    <t>西南郊110千伏送出工程</t>
  </si>
  <si>
    <t>滨河路南头</t>
  </si>
  <si>
    <t>二</t>
  </si>
  <si>
    <t>新建项目</t>
  </si>
  <si>
    <t>纬七路</t>
  </si>
  <si>
    <t>纬九路</t>
  </si>
  <si>
    <t>2023.5</t>
  </si>
  <si>
    <t>雨污水完成  
路床完成</t>
  </si>
  <si>
    <t>独山大道</t>
  </si>
  <si>
    <t>信臣路</t>
  </si>
  <si>
    <t>溧源路</t>
  </si>
  <si>
    <t>白河大道</t>
  </si>
  <si>
    <t>支路（三完）</t>
  </si>
  <si>
    <t>2022.3</t>
  </si>
  <si>
    <t>2022.09</t>
  </si>
  <si>
    <t>B2路
(如意路)</t>
  </si>
  <si>
    <t>仲景路</t>
  </si>
  <si>
    <t>道路、排水、照 明、绿化附属设施</t>
  </si>
  <si>
    <t>珠江路</t>
  </si>
  <si>
    <t>纬八路</t>
  </si>
  <si>
    <t>经九路</t>
  </si>
  <si>
    <t>经十三路</t>
  </si>
  <si>
    <t>2022.12</t>
  </si>
  <si>
    <t>道路维修</t>
  </si>
  <si>
    <t>三</t>
  </si>
  <si>
    <t>断头路</t>
  </si>
  <si>
    <t>雪枫路</t>
  </si>
  <si>
    <t>黄河路</t>
  </si>
  <si>
    <t xml:space="preserve">2022.06 </t>
  </si>
  <si>
    <t>邓禹路</t>
  </si>
  <si>
    <t>范蠡路</t>
  </si>
  <si>
    <t>孔明路</t>
  </si>
  <si>
    <t>四</t>
  </si>
  <si>
    <t>谋划项目前期</t>
  </si>
  <si>
    <t>新建项目：南泰路（仲景路-独山大道）、王安路（信臣路-312国道）、建设路（车站路-人民路）、伏牛路（白河大道-木兰花集团）、北京路（卧龙路-张衡路）共5条道路</t>
  </si>
  <si>
    <t>完成项目前期工作</t>
  </si>
  <si>
    <t>涉铁项目</t>
  </si>
  <si>
    <t>涉铁项目：原西环路（北京路南延-中州路）、车站路（雪枫路-南环路）共2条道路</t>
  </si>
  <si>
    <t>雨污分流改造项目</t>
  </si>
  <si>
    <t>北京路（卧龙路-信臣路）、张衡路（人民路至独山大道）、中州路（北京路-三里河）、工业路（张衡路-滨河路）、文化路（建设路-滨河路）、伏牛路（白河大道-木兰花集团）、麒麟路（北京路-百里溪）、兴隆路（华山路-南阳仲裁委员会西路口）、泰山路（白河大道-长江路）、人民路（张衡路-光武路）、岗王庄路（梨园路-孵化园路）、建设路（车站路-人民路、独山大道-滨河路）、明山路（信臣路-范蠡路、医圣祠路-滨河路）、新华路（人民路-独山大道）、武侯路（北京路-车站路）、七一路（车站路-滨河路）、红庙路（车站路-文化路）、卧龙路（十二里河桥-北京路）、雪枫路（龙升路-双铺站），等19条路道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</si>
</sst>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9"/>
      <color theme="1"/>
      <name val="宋体"/>
      <charset val="134"/>
    </font>
    <font>
      <b/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32" fillId="23" borderId="10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tabSelected="1" workbookViewId="0">
      <pane ySplit="3" topLeftCell="A11" activePane="bottomLeft" state="frozen"/>
      <selection/>
      <selection pane="bottomLeft" activeCell="B14" sqref="B14"/>
    </sheetView>
  </sheetViews>
  <sheetFormatPr defaultColWidth="9" defaultRowHeight="13.5"/>
  <cols>
    <col min="1" max="1" width="5.5" customWidth="1"/>
    <col min="2" max="2" width="8.63333333333333" customWidth="1"/>
    <col min="3" max="3" width="8.38333333333333" customWidth="1"/>
    <col min="4" max="4" width="7.88333333333333" customWidth="1"/>
    <col min="5" max="5" width="7.38333333333333" customWidth="1"/>
    <col min="6" max="6" width="7" customWidth="1"/>
    <col min="7" max="7" width="17" style="2" customWidth="1"/>
    <col min="8" max="8" width="9.25"/>
    <col min="10" max="10" width="10.375"/>
    <col min="11" max="11" width="9.38333333333333"/>
    <col min="12" max="12" width="8.5" customWidth="1"/>
    <col min="13" max="13" width="8.88333333333333" customWidth="1"/>
    <col min="14" max="14" width="7.13333333333333" customWidth="1"/>
    <col min="15" max="15" width="6.75" customWidth="1"/>
    <col min="16" max="16" width="11.125" customWidth="1"/>
    <col min="17" max="17" width="9.375"/>
    <col min="22" max="22" width="10.375"/>
  </cols>
  <sheetData>
    <row r="1" ht="43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42" customHeight="1" spans="1:16">
      <c r="A2" s="4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20" t="s">
        <v>13</v>
      </c>
      <c r="O2" s="20" t="s">
        <v>14</v>
      </c>
      <c r="P2" s="21" t="s">
        <v>15</v>
      </c>
    </row>
    <row r="3" ht="42" customHeight="1" spans="1:16">
      <c r="A3" s="4"/>
      <c r="B3" s="4"/>
      <c r="C3" s="4" t="s">
        <v>16</v>
      </c>
      <c r="D3" s="4" t="s">
        <v>17</v>
      </c>
      <c r="E3" s="4"/>
      <c r="F3" s="4"/>
      <c r="G3" s="4"/>
      <c r="H3" s="4"/>
      <c r="I3" s="4"/>
      <c r="J3" s="4"/>
      <c r="K3" s="4"/>
      <c r="L3" s="4"/>
      <c r="M3" s="4"/>
      <c r="N3" s="20"/>
      <c r="O3" s="20"/>
      <c r="P3" s="22"/>
    </row>
    <row r="4" s="1" customFormat="1" ht="48" customHeight="1" spans="1:16">
      <c r="A4" s="5"/>
      <c r="B4" s="5" t="s">
        <v>18</v>
      </c>
      <c r="C4" s="5"/>
      <c r="D4" s="5"/>
      <c r="E4" s="5">
        <f t="shared" ref="E4:K4" si="0">E5+E15+E23+E26</f>
        <v>33822</v>
      </c>
      <c r="F4" s="5" t="s">
        <v>19</v>
      </c>
      <c r="G4" s="5"/>
      <c r="H4" s="5">
        <f t="shared" si="0"/>
        <v>893306.94</v>
      </c>
      <c r="I4" s="5">
        <f t="shared" si="0"/>
        <v>18751.6</v>
      </c>
      <c r="J4" s="5">
        <f t="shared" si="0"/>
        <v>917135.54</v>
      </c>
      <c r="K4" s="5">
        <f t="shared" si="0"/>
        <v>124264.772</v>
      </c>
      <c r="L4" s="5"/>
      <c r="M4" s="5"/>
      <c r="N4" s="23"/>
      <c r="O4" s="24"/>
      <c r="P4" s="5"/>
    </row>
    <row r="5" ht="45" customHeight="1" spans="1:16">
      <c r="A5" s="4" t="s">
        <v>20</v>
      </c>
      <c r="B5" s="4" t="s">
        <v>21</v>
      </c>
      <c r="C5" s="4"/>
      <c r="D5" s="4"/>
      <c r="E5" s="4">
        <f>SUM(E6:E14)</f>
        <v>15584</v>
      </c>
      <c r="F5" s="4"/>
      <c r="G5" s="4"/>
      <c r="H5" s="4">
        <f>SUM(H6:H14)</f>
        <v>120233.5</v>
      </c>
      <c r="I5" s="4">
        <f>SUM(I6:I14)</f>
        <v>6181.5</v>
      </c>
      <c r="J5" s="4">
        <f>SUM(J6:J14)</f>
        <v>126492</v>
      </c>
      <c r="K5" s="4">
        <f>SUM(K6:K14)</f>
        <v>81788</v>
      </c>
      <c r="L5" s="4"/>
      <c r="M5" s="4"/>
      <c r="N5" s="20"/>
      <c r="O5" s="25"/>
      <c r="P5" s="4"/>
    </row>
    <row r="6" ht="54" customHeight="1" spans="1:16">
      <c r="A6" s="6">
        <v>1</v>
      </c>
      <c r="B6" s="6" t="s">
        <v>22</v>
      </c>
      <c r="C6" s="6" t="s">
        <v>23</v>
      </c>
      <c r="D6" s="6" t="s">
        <v>24</v>
      </c>
      <c r="E6" s="6">
        <v>2090</v>
      </c>
      <c r="F6" s="6">
        <v>60</v>
      </c>
      <c r="G6" s="7" t="s">
        <v>25</v>
      </c>
      <c r="H6" s="6">
        <f>21600-I6</f>
        <v>19200</v>
      </c>
      <c r="I6" s="6">
        <v>2400</v>
      </c>
      <c r="J6" s="6">
        <f>18000*1.2</f>
        <v>21600</v>
      </c>
      <c r="K6" s="6">
        <f>18000*1.2*0.7</f>
        <v>15120</v>
      </c>
      <c r="L6" s="6" t="s">
        <v>26</v>
      </c>
      <c r="M6" s="26" t="s">
        <v>27</v>
      </c>
      <c r="N6" s="27" t="s">
        <v>28</v>
      </c>
      <c r="O6" s="27" t="s">
        <v>29</v>
      </c>
      <c r="P6" s="6" t="s">
        <v>30</v>
      </c>
    </row>
    <row r="7" ht="47" customHeight="1" spans="1:16">
      <c r="A7" s="6">
        <v>2</v>
      </c>
      <c r="B7" s="6" t="s">
        <v>31</v>
      </c>
      <c r="C7" s="6" t="s">
        <v>32</v>
      </c>
      <c r="D7" s="6" t="s">
        <v>33</v>
      </c>
      <c r="E7" s="6">
        <v>798</v>
      </c>
      <c r="F7" s="6">
        <v>40</v>
      </c>
      <c r="G7" s="7" t="s">
        <v>34</v>
      </c>
      <c r="H7" s="6">
        <v>3600</v>
      </c>
      <c r="I7" s="6">
        <v>300</v>
      </c>
      <c r="J7" s="6">
        <v>3900</v>
      </c>
      <c r="K7" s="6">
        <v>3000</v>
      </c>
      <c r="L7" s="6" t="s">
        <v>26</v>
      </c>
      <c r="M7" s="26" t="s">
        <v>27</v>
      </c>
      <c r="N7" s="27" t="s">
        <v>35</v>
      </c>
      <c r="O7" s="27" t="s">
        <v>36</v>
      </c>
      <c r="P7" s="6" t="s">
        <v>30</v>
      </c>
    </row>
    <row r="8" ht="43" customHeight="1" spans="1:16">
      <c r="A8" s="6">
        <v>3</v>
      </c>
      <c r="B8" s="6" t="s">
        <v>37</v>
      </c>
      <c r="C8" s="6" t="s">
        <v>38</v>
      </c>
      <c r="D8" s="6" t="s">
        <v>39</v>
      </c>
      <c r="E8" s="6">
        <v>1760</v>
      </c>
      <c r="F8" s="6"/>
      <c r="G8" s="7" t="s">
        <v>40</v>
      </c>
      <c r="H8" s="6">
        <v>70265</v>
      </c>
      <c r="I8" s="6">
        <v>0</v>
      </c>
      <c r="J8" s="6">
        <v>70265</v>
      </c>
      <c r="K8" s="6">
        <f>J8*0.8-16000</f>
        <v>40212</v>
      </c>
      <c r="L8" s="6" t="s">
        <v>26</v>
      </c>
      <c r="M8" s="26" t="s">
        <v>27</v>
      </c>
      <c r="N8" s="27" t="s">
        <v>41</v>
      </c>
      <c r="O8" s="27" t="s">
        <v>42</v>
      </c>
      <c r="P8" s="6" t="s">
        <v>30</v>
      </c>
    </row>
    <row r="9" ht="48" customHeight="1" spans="1:16">
      <c r="A9" s="6">
        <v>4</v>
      </c>
      <c r="B9" s="6" t="s">
        <v>43</v>
      </c>
      <c r="C9" s="6" t="s">
        <v>44</v>
      </c>
      <c r="D9" s="6" t="s">
        <v>24</v>
      </c>
      <c r="E9" s="6">
        <v>1680</v>
      </c>
      <c r="F9" s="6">
        <v>60</v>
      </c>
      <c r="G9" s="7" t="s">
        <v>45</v>
      </c>
      <c r="H9" s="6">
        <v>12096</v>
      </c>
      <c r="I9" s="6">
        <v>1814</v>
      </c>
      <c r="J9" s="6">
        <v>13987</v>
      </c>
      <c r="K9" s="6">
        <f>13910*0.8</f>
        <v>11128</v>
      </c>
      <c r="L9" s="6" t="s">
        <v>26</v>
      </c>
      <c r="M9" s="26" t="s">
        <v>27</v>
      </c>
      <c r="N9" s="27" t="s">
        <v>46</v>
      </c>
      <c r="O9" s="27" t="s">
        <v>47</v>
      </c>
      <c r="P9" s="6" t="s">
        <v>48</v>
      </c>
    </row>
    <row r="10" ht="46" customHeight="1" spans="1:16">
      <c r="A10" s="6">
        <v>5</v>
      </c>
      <c r="B10" s="6" t="s">
        <v>49</v>
      </c>
      <c r="C10" s="6" t="s">
        <v>50</v>
      </c>
      <c r="D10" s="6" t="s">
        <v>51</v>
      </c>
      <c r="E10" s="6">
        <v>300</v>
      </c>
      <c r="F10" s="6">
        <v>50</v>
      </c>
      <c r="G10" s="7" t="s">
        <v>34</v>
      </c>
      <c r="H10" s="6">
        <v>1500</v>
      </c>
      <c r="I10" s="6">
        <v>270</v>
      </c>
      <c r="J10" s="6">
        <f>H10+I10</f>
        <v>1770</v>
      </c>
      <c r="K10" s="6">
        <f>J10*0.7</f>
        <v>1239</v>
      </c>
      <c r="L10" s="6" t="s">
        <v>26</v>
      </c>
      <c r="M10" s="26" t="s">
        <v>27</v>
      </c>
      <c r="N10" s="27" t="s">
        <v>52</v>
      </c>
      <c r="O10" s="27" t="s">
        <v>47</v>
      </c>
      <c r="P10" s="6" t="s">
        <v>48</v>
      </c>
    </row>
    <row r="11" ht="43" customHeight="1" spans="1:16">
      <c r="A11" s="6">
        <v>6</v>
      </c>
      <c r="B11" s="6" t="s">
        <v>53</v>
      </c>
      <c r="C11" s="6" t="s">
        <v>54</v>
      </c>
      <c r="D11" s="6" t="s">
        <v>55</v>
      </c>
      <c r="E11" s="6">
        <v>659</v>
      </c>
      <c r="F11" s="6">
        <v>40</v>
      </c>
      <c r="G11" s="7" t="s">
        <v>34</v>
      </c>
      <c r="H11" s="6">
        <f>1570-114</f>
        <v>1456</v>
      </c>
      <c r="I11" s="6">
        <v>114</v>
      </c>
      <c r="J11" s="6">
        <f>H11+I11</f>
        <v>1570</v>
      </c>
      <c r="K11" s="6">
        <f>J11*0.7</f>
        <v>1099</v>
      </c>
      <c r="L11" s="6" t="s">
        <v>26</v>
      </c>
      <c r="M11" s="26" t="s">
        <v>27</v>
      </c>
      <c r="N11" s="27" t="s">
        <v>46</v>
      </c>
      <c r="O11" s="27" t="s">
        <v>47</v>
      </c>
      <c r="P11" s="6" t="s">
        <v>48</v>
      </c>
    </row>
    <row r="12" ht="43" customHeight="1" spans="1:16">
      <c r="A12" s="6">
        <v>7</v>
      </c>
      <c r="B12" s="6" t="s">
        <v>56</v>
      </c>
      <c r="C12" s="6" t="s">
        <v>57</v>
      </c>
      <c r="D12" s="6" t="s">
        <v>58</v>
      </c>
      <c r="E12" s="6">
        <v>2567</v>
      </c>
      <c r="F12" s="6">
        <v>40</v>
      </c>
      <c r="G12" s="7" t="s">
        <v>34</v>
      </c>
      <c r="H12" s="6">
        <f>J12-I12</f>
        <v>6016.5</v>
      </c>
      <c r="I12" s="6">
        <f>E12*10*0.05</f>
        <v>1283.5</v>
      </c>
      <c r="J12" s="6">
        <v>7300</v>
      </c>
      <c r="K12" s="6">
        <f>J12*0.7</f>
        <v>5110</v>
      </c>
      <c r="L12" s="6" t="s">
        <v>26</v>
      </c>
      <c r="M12" s="26" t="s">
        <v>27</v>
      </c>
      <c r="N12" s="27" t="s">
        <v>59</v>
      </c>
      <c r="O12" s="27" t="s">
        <v>60</v>
      </c>
      <c r="P12" s="6" t="s">
        <v>48</v>
      </c>
    </row>
    <row r="13" ht="43" customHeight="1" spans="1:16">
      <c r="A13" s="6">
        <v>8</v>
      </c>
      <c r="B13" s="6" t="s">
        <v>61</v>
      </c>
      <c r="C13" s="6" t="s">
        <v>62</v>
      </c>
      <c r="D13" s="6" t="s">
        <v>54</v>
      </c>
      <c r="E13" s="6">
        <v>1080</v>
      </c>
      <c r="F13" s="6"/>
      <c r="G13" s="7" t="s">
        <v>63</v>
      </c>
      <c r="H13" s="6">
        <v>1300</v>
      </c>
      <c r="I13" s="6"/>
      <c r="J13" s="6">
        <v>1300</v>
      </c>
      <c r="K13" s="6">
        <f>J13*0.8</f>
        <v>1040</v>
      </c>
      <c r="L13" s="6" t="s">
        <v>26</v>
      </c>
      <c r="M13" s="26" t="s">
        <v>27</v>
      </c>
      <c r="N13" s="27" t="s">
        <v>64</v>
      </c>
      <c r="O13" s="27" t="s">
        <v>47</v>
      </c>
      <c r="P13" s="6" t="s">
        <v>48</v>
      </c>
    </row>
    <row r="14" ht="48" customHeight="1" spans="1:16">
      <c r="A14" s="6">
        <v>9</v>
      </c>
      <c r="B14" s="6" t="s">
        <v>65</v>
      </c>
      <c r="C14" s="6" t="s">
        <v>66</v>
      </c>
      <c r="D14" s="6" t="s">
        <v>54</v>
      </c>
      <c r="E14" s="6">
        <v>4650</v>
      </c>
      <c r="F14" s="6"/>
      <c r="G14" s="7" t="s">
        <v>63</v>
      </c>
      <c r="H14" s="6">
        <v>4800</v>
      </c>
      <c r="I14" s="6"/>
      <c r="J14" s="6">
        <f>H14</f>
        <v>4800</v>
      </c>
      <c r="K14" s="6">
        <f>J14*0.8</f>
        <v>3840</v>
      </c>
      <c r="L14" s="6" t="s">
        <v>26</v>
      </c>
      <c r="M14" s="26" t="s">
        <v>27</v>
      </c>
      <c r="N14" s="27" t="s">
        <v>60</v>
      </c>
      <c r="O14" s="27" t="s">
        <v>47</v>
      </c>
      <c r="P14" s="6" t="s">
        <v>48</v>
      </c>
    </row>
    <row r="15" ht="43" customHeight="1" spans="1:16">
      <c r="A15" s="4" t="s">
        <v>67</v>
      </c>
      <c r="B15" s="4" t="s">
        <v>68</v>
      </c>
      <c r="C15" s="4"/>
      <c r="D15" s="4"/>
      <c r="E15" s="4">
        <f>SUM(E16:E22)</f>
        <v>16055</v>
      </c>
      <c r="F15" s="4"/>
      <c r="G15" s="4"/>
      <c r="H15" s="4">
        <f>SUM(H16:H22)</f>
        <v>78919.44</v>
      </c>
      <c r="I15" s="4">
        <f>SUM(I16:I22)</f>
        <v>10854.1</v>
      </c>
      <c r="J15" s="4">
        <f>SUM(J16:J22)</f>
        <v>94773.54</v>
      </c>
      <c r="K15" s="4">
        <f>SUM(K16:K22)</f>
        <v>32476.772</v>
      </c>
      <c r="L15" s="4"/>
      <c r="M15" s="28"/>
      <c r="N15" s="20"/>
      <c r="O15" s="29"/>
      <c r="P15" s="4"/>
    </row>
    <row r="16" s="1" customFormat="1" ht="42" customHeight="1" spans="1:16">
      <c r="A16" s="8">
        <v>10</v>
      </c>
      <c r="B16" s="8" t="s">
        <v>39</v>
      </c>
      <c r="C16" s="8" t="s">
        <v>69</v>
      </c>
      <c r="D16" s="8" t="s">
        <v>70</v>
      </c>
      <c r="E16" s="8">
        <v>1445</v>
      </c>
      <c r="F16" s="8">
        <v>60</v>
      </c>
      <c r="G16" s="9" t="s">
        <v>34</v>
      </c>
      <c r="H16" s="8">
        <f>6000*E16/1000</f>
        <v>8670</v>
      </c>
      <c r="I16" s="8">
        <f>E16*10*500/10000</f>
        <v>722.5</v>
      </c>
      <c r="J16" s="8">
        <f>H16+I16</f>
        <v>9392.5</v>
      </c>
      <c r="K16" s="8">
        <f>J16*0.3</f>
        <v>2817.75</v>
      </c>
      <c r="L16" s="8" t="s">
        <v>26</v>
      </c>
      <c r="M16" s="30" t="s">
        <v>27</v>
      </c>
      <c r="N16" s="31">
        <v>2022.08</v>
      </c>
      <c r="O16" s="32" t="s">
        <v>71</v>
      </c>
      <c r="P16" s="9" t="s">
        <v>72</v>
      </c>
    </row>
    <row r="17" s="1" customFormat="1" ht="42" customHeight="1" spans="1:16">
      <c r="A17" s="8">
        <v>11</v>
      </c>
      <c r="B17" s="8" t="s">
        <v>50</v>
      </c>
      <c r="C17" s="8" t="s">
        <v>73</v>
      </c>
      <c r="D17" s="8" t="s">
        <v>74</v>
      </c>
      <c r="E17" s="8">
        <v>4410</v>
      </c>
      <c r="F17" s="8">
        <v>60</v>
      </c>
      <c r="G17" s="9" t="s">
        <v>34</v>
      </c>
      <c r="H17" s="8">
        <f>E17/1000*6000*1.1</f>
        <v>29106</v>
      </c>
      <c r="I17" s="8">
        <f>7743.96/6146*E17</f>
        <v>5556.6</v>
      </c>
      <c r="J17" s="8">
        <f>H17+I17</f>
        <v>34662.6</v>
      </c>
      <c r="K17" s="8">
        <f>J17*0.25</f>
        <v>8665.65</v>
      </c>
      <c r="L17" s="8" t="s">
        <v>26</v>
      </c>
      <c r="M17" s="30" t="s">
        <v>27</v>
      </c>
      <c r="N17" s="32" t="s">
        <v>29</v>
      </c>
      <c r="O17" s="32">
        <v>2023.04</v>
      </c>
      <c r="P17" s="9" t="s">
        <v>72</v>
      </c>
    </row>
    <row r="18" ht="44" customHeight="1" spans="1:16">
      <c r="A18" s="8">
        <v>12</v>
      </c>
      <c r="B18" s="6" t="s">
        <v>75</v>
      </c>
      <c r="C18" s="6" t="s">
        <v>76</v>
      </c>
      <c r="D18" s="6" t="s">
        <v>77</v>
      </c>
      <c r="E18" s="6">
        <v>4238</v>
      </c>
      <c r="F18" s="6">
        <v>40</v>
      </c>
      <c r="G18" s="7" t="s">
        <v>45</v>
      </c>
      <c r="H18" s="6">
        <f>E18*4400*1.2/1000</f>
        <v>22376.64</v>
      </c>
      <c r="I18" s="6">
        <v>2966.6</v>
      </c>
      <c r="J18" s="6">
        <f>I18+H18</f>
        <v>25343.24</v>
      </c>
      <c r="K18" s="6">
        <f>J18*0.3</f>
        <v>7602.972</v>
      </c>
      <c r="L18" s="6" t="s">
        <v>26</v>
      </c>
      <c r="M18" s="26" t="s">
        <v>27</v>
      </c>
      <c r="N18" s="27" t="s">
        <v>78</v>
      </c>
      <c r="O18" s="27" t="s">
        <v>79</v>
      </c>
      <c r="P18" s="33" t="s">
        <v>30</v>
      </c>
    </row>
    <row r="19" ht="42" customHeight="1" spans="1:16">
      <c r="A19" s="8">
        <v>13</v>
      </c>
      <c r="B19" s="6" t="s">
        <v>80</v>
      </c>
      <c r="C19" s="6" t="s">
        <v>81</v>
      </c>
      <c r="D19" s="6" t="s">
        <v>31</v>
      </c>
      <c r="E19" s="6">
        <f>2076+590</f>
        <v>2666</v>
      </c>
      <c r="F19" s="10">
        <v>40</v>
      </c>
      <c r="G19" s="7" t="s">
        <v>82</v>
      </c>
      <c r="H19" s="6">
        <f>2.076*4400+0.59*3000+20*40*0.7</f>
        <v>11464.4</v>
      </c>
      <c r="I19" s="6">
        <f>6*500*2076/10000</f>
        <v>622.8</v>
      </c>
      <c r="J19" s="6">
        <f>H19+I19</f>
        <v>12087.2</v>
      </c>
      <c r="K19" s="6">
        <v>4000</v>
      </c>
      <c r="L19" s="6" t="s">
        <v>26</v>
      </c>
      <c r="M19" s="26" t="s">
        <v>27</v>
      </c>
      <c r="N19" s="27" t="s">
        <v>36</v>
      </c>
      <c r="O19" s="27" t="s">
        <v>29</v>
      </c>
      <c r="P19" s="33" t="s">
        <v>30</v>
      </c>
    </row>
    <row r="20" s="1" customFormat="1" ht="51" customHeight="1" spans="1:16">
      <c r="A20" s="8">
        <v>14</v>
      </c>
      <c r="B20" s="8" t="s">
        <v>83</v>
      </c>
      <c r="C20" s="8" t="s">
        <v>69</v>
      </c>
      <c r="D20" s="8" t="s">
        <v>84</v>
      </c>
      <c r="E20" s="8">
        <v>896</v>
      </c>
      <c r="F20" s="8">
        <v>40</v>
      </c>
      <c r="G20" s="9" t="s">
        <v>34</v>
      </c>
      <c r="H20" s="8">
        <f>4000*E20/1000*1.1</f>
        <v>3942.4</v>
      </c>
      <c r="I20" s="8">
        <f>E20*12*500/10000</f>
        <v>537.6</v>
      </c>
      <c r="J20" s="8">
        <f>H20+I20</f>
        <v>4480</v>
      </c>
      <c r="K20" s="8">
        <f>J20*0.3</f>
        <v>1344</v>
      </c>
      <c r="L20" s="8" t="s">
        <v>26</v>
      </c>
      <c r="M20" s="30" t="s">
        <v>27</v>
      </c>
      <c r="N20" s="31">
        <v>2022.08</v>
      </c>
      <c r="O20" s="32" t="s">
        <v>71</v>
      </c>
      <c r="P20" s="9" t="s">
        <v>72</v>
      </c>
    </row>
    <row r="21" ht="51" customHeight="1" spans="1:16">
      <c r="A21" s="8">
        <v>15</v>
      </c>
      <c r="B21" s="11" t="s">
        <v>69</v>
      </c>
      <c r="C21" s="11" t="s">
        <v>85</v>
      </c>
      <c r="D21" s="11" t="s">
        <v>86</v>
      </c>
      <c r="E21" s="11">
        <v>2400</v>
      </c>
      <c r="F21" s="11">
        <v>40</v>
      </c>
      <c r="G21" s="12" t="s">
        <v>34</v>
      </c>
      <c r="H21" s="11">
        <f>(4800*0.7)</f>
        <v>3360</v>
      </c>
      <c r="I21" s="11">
        <f>400*700*16/10000</f>
        <v>448</v>
      </c>
      <c r="J21" s="11">
        <f>H21+I21</f>
        <v>3808</v>
      </c>
      <c r="K21" s="11">
        <f>J21*0.8</f>
        <v>3046.4</v>
      </c>
      <c r="L21" s="11" t="s">
        <v>26</v>
      </c>
      <c r="M21" s="34" t="s">
        <v>27</v>
      </c>
      <c r="N21" s="35">
        <v>2022.6</v>
      </c>
      <c r="O21" s="35" t="s">
        <v>87</v>
      </c>
      <c r="P21" s="33" t="s">
        <v>30</v>
      </c>
    </row>
    <row r="22" ht="51" customHeight="1" spans="1:16">
      <c r="A22" s="8">
        <v>16</v>
      </c>
      <c r="B22" s="11" t="s">
        <v>88</v>
      </c>
      <c r="C22" s="13"/>
      <c r="D22" s="13"/>
      <c r="E22" s="13"/>
      <c r="F22" s="13"/>
      <c r="G22" s="14"/>
      <c r="H22" s="13"/>
      <c r="I22" s="13"/>
      <c r="J22" s="16">
        <v>5000</v>
      </c>
      <c r="K22" s="16">
        <f>J22</f>
        <v>5000</v>
      </c>
      <c r="L22" s="13"/>
      <c r="M22" s="13"/>
      <c r="N22" s="13"/>
      <c r="O22" s="13"/>
      <c r="P22" s="36" t="s">
        <v>30</v>
      </c>
    </row>
    <row r="23" ht="51" customHeight="1" spans="1:16">
      <c r="A23" s="4" t="s">
        <v>89</v>
      </c>
      <c r="B23" s="4" t="s">
        <v>90</v>
      </c>
      <c r="C23" s="4"/>
      <c r="D23" s="4"/>
      <c r="E23" s="4">
        <f t="shared" ref="E23:K23" si="1">SUM(E24:E25)</f>
        <v>2183</v>
      </c>
      <c r="F23" s="4"/>
      <c r="G23" s="15"/>
      <c r="H23" s="4">
        <f t="shared" si="1"/>
        <v>13978</v>
      </c>
      <c r="I23" s="4">
        <f t="shared" si="1"/>
        <v>1716</v>
      </c>
      <c r="J23" s="4">
        <f t="shared" si="1"/>
        <v>15694</v>
      </c>
      <c r="K23" s="4">
        <f t="shared" si="1"/>
        <v>9000</v>
      </c>
      <c r="L23" s="4"/>
      <c r="M23" s="28"/>
      <c r="N23" s="20"/>
      <c r="O23" s="27"/>
      <c r="P23" s="4"/>
    </row>
    <row r="24" ht="51" customHeight="1" spans="1:16">
      <c r="A24" s="16">
        <v>17</v>
      </c>
      <c r="B24" s="16" t="s">
        <v>39</v>
      </c>
      <c r="C24" s="16" t="s">
        <v>91</v>
      </c>
      <c r="D24" s="16" t="s">
        <v>92</v>
      </c>
      <c r="E24" s="16">
        <v>1600</v>
      </c>
      <c r="F24" s="16">
        <v>60</v>
      </c>
      <c r="G24" s="17" t="s">
        <v>34</v>
      </c>
      <c r="H24" s="16">
        <v>10480</v>
      </c>
      <c r="I24" s="16">
        <v>1516</v>
      </c>
      <c r="J24" s="16">
        <f>H24+I24</f>
        <v>11996</v>
      </c>
      <c r="K24" s="16">
        <v>6000</v>
      </c>
      <c r="L24" s="16" t="s">
        <v>26</v>
      </c>
      <c r="M24" s="37" t="s">
        <v>27</v>
      </c>
      <c r="N24" s="38" t="s">
        <v>93</v>
      </c>
      <c r="O24" s="38" t="s">
        <v>87</v>
      </c>
      <c r="P24" s="17" t="s">
        <v>30</v>
      </c>
    </row>
    <row r="25" ht="51" customHeight="1" spans="1:16">
      <c r="A25" s="16">
        <v>18</v>
      </c>
      <c r="B25" s="16" t="s">
        <v>94</v>
      </c>
      <c r="C25" s="16" t="s">
        <v>95</v>
      </c>
      <c r="D25" s="16" t="s">
        <v>96</v>
      </c>
      <c r="E25" s="16">
        <v>583</v>
      </c>
      <c r="F25" s="16">
        <v>60</v>
      </c>
      <c r="G25" s="17" t="s">
        <v>34</v>
      </c>
      <c r="H25" s="16">
        <f>E25*6000/1000</f>
        <v>3498</v>
      </c>
      <c r="I25" s="16">
        <v>200</v>
      </c>
      <c r="J25" s="16">
        <f>H25+I25</f>
        <v>3698</v>
      </c>
      <c r="K25" s="16">
        <v>3000</v>
      </c>
      <c r="L25" s="16" t="s">
        <v>26</v>
      </c>
      <c r="M25" s="37" t="s">
        <v>27</v>
      </c>
      <c r="N25" s="38" t="s">
        <v>29</v>
      </c>
      <c r="O25" s="38" t="s">
        <v>87</v>
      </c>
      <c r="P25" s="17" t="s">
        <v>30</v>
      </c>
    </row>
    <row r="26" ht="51" customHeight="1" spans="1:16">
      <c r="A26" s="18" t="s">
        <v>97</v>
      </c>
      <c r="B26" s="18" t="s">
        <v>98</v>
      </c>
      <c r="C26" s="18"/>
      <c r="D26" s="18"/>
      <c r="E26" s="18"/>
      <c r="F26" s="18"/>
      <c r="G26" s="19"/>
      <c r="H26" s="18">
        <f>SUM(H27:H29)</f>
        <v>680176</v>
      </c>
      <c r="I26" s="18"/>
      <c r="J26" s="18">
        <f>SUM(J27:J29)</f>
        <v>680176</v>
      </c>
      <c r="K26" s="18">
        <v>1000</v>
      </c>
      <c r="L26" s="13"/>
      <c r="M26" s="39"/>
      <c r="N26" s="13"/>
      <c r="O26" s="13"/>
      <c r="P26" s="39"/>
    </row>
    <row r="27" customFormat="1" ht="55" customHeight="1" spans="1:22">
      <c r="A27" s="6">
        <v>19</v>
      </c>
      <c r="B27" s="6" t="s">
        <v>68</v>
      </c>
      <c r="C27" s="6" t="s">
        <v>99</v>
      </c>
      <c r="D27" s="6"/>
      <c r="E27" s="6"/>
      <c r="F27" s="6"/>
      <c r="G27" s="6"/>
      <c r="H27" s="6">
        <v>107620</v>
      </c>
      <c r="I27" s="6"/>
      <c r="J27" s="6">
        <v>107620</v>
      </c>
      <c r="K27" s="6">
        <v>1000</v>
      </c>
      <c r="L27" s="16" t="s">
        <v>26</v>
      </c>
      <c r="M27" s="37" t="s">
        <v>27</v>
      </c>
      <c r="N27" s="6"/>
      <c r="O27" s="6"/>
      <c r="P27" s="6" t="s">
        <v>100</v>
      </c>
      <c r="V27" s="40"/>
    </row>
    <row r="28" customFormat="1" ht="37" customHeight="1" spans="1:16">
      <c r="A28" s="6">
        <v>20</v>
      </c>
      <c r="B28" s="6" t="s">
        <v>101</v>
      </c>
      <c r="C28" s="6" t="s">
        <v>102</v>
      </c>
      <c r="D28" s="6"/>
      <c r="E28" s="6"/>
      <c r="F28" s="6"/>
      <c r="G28" s="6"/>
      <c r="H28" s="6">
        <f>136556+28000</f>
        <v>164556</v>
      </c>
      <c r="I28" s="6"/>
      <c r="J28" s="6">
        <f>136556+28000</f>
        <v>164556</v>
      </c>
      <c r="K28" s="6"/>
      <c r="L28" s="16" t="s">
        <v>26</v>
      </c>
      <c r="M28" s="37" t="s">
        <v>27</v>
      </c>
      <c r="N28" s="6"/>
      <c r="O28" s="6"/>
      <c r="P28" s="6" t="s">
        <v>100</v>
      </c>
    </row>
    <row r="29" customFormat="1" ht="122" customHeight="1" spans="1:16">
      <c r="A29" s="6">
        <v>21</v>
      </c>
      <c r="B29" s="6" t="s">
        <v>103</v>
      </c>
      <c r="C29" s="6" t="s">
        <v>104</v>
      </c>
      <c r="D29" s="6"/>
      <c r="E29" s="6"/>
      <c r="F29" s="6"/>
      <c r="G29" s="6"/>
      <c r="H29" s="6">
        <v>408000</v>
      </c>
      <c r="I29" s="6"/>
      <c r="J29" s="6">
        <v>408000</v>
      </c>
      <c r="K29" s="6"/>
      <c r="L29" s="16" t="s">
        <v>26</v>
      </c>
      <c r="M29" s="37" t="s">
        <v>27</v>
      </c>
      <c r="N29" s="6"/>
      <c r="O29" s="6"/>
      <c r="P29" s="6" t="s">
        <v>100</v>
      </c>
    </row>
  </sheetData>
  <mergeCells count="20">
    <mergeCell ref="A1:P1"/>
    <mergeCell ref="C2:D2"/>
    <mergeCell ref="C27:G27"/>
    <mergeCell ref="C28:G28"/>
    <mergeCell ref="C29:G29"/>
    <mergeCell ref="A2:A3"/>
    <mergeCell ref="B2:B3"/>
    <mergeCell ref="E2:E3"/>
    <mergeCell ref="F2:F3"/>
    <mergeCell ref="G2:G3"/>
    <mergeCell ref="H2:H3"/>
    <mergeCell ref="I2:I3"/>
    <mergeCell ref="J2:J3"/>
    <mergeCell ref="K2:K3"/>
    <mergeCell ref="K27:K29"/>
    <mergeCell ref="L2:L3"/>
    <mergeCell ref="M2:M3"/>
    <mergeCell ref="N2:N3"/>
    <mergeCell ref="O2:O3"/>
    <mergeCell ref="P2:P3"/>
  </mergeCells>
  <printOptions horizontalCentered="1"/>
  <pageMargins left="0.196527777777778" right="0.196527777777778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</dc:creator>
  <cp:lastModifiedBy>hp</cp:lastModifiedBy>
  <dcterms:created xsi:type="dcterms:W3CDTF">2022-01-18T12:04:00Z</dcterms:created>
  <dcterms:modified xsi:type="dcterms:W3CDTF">2022-02-26T18:12:39Z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2AA6D668962B4BD8BBCFB45D9FD81E60</vt:lpwstr>
  </property>
  <property fmtid="{D5CDD505-2E9C-101B-9397-08002B2CF9AE}" pid="3" name="KSOProductBuildVer">
    <vt:lpwstr>2052-11.1.0.11365</vt:lpwstr>
  </property>
</Properties>
</file>